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335" windowWidth="15480" windowHeight="4395" activeTab="1"/>
  </bookViews>
  <sheets>
    <sheet name="Hoja1" sheetId="1" r:id="rId1"/>
    <sheet name="histórico w dep inv" sheetId="2" r:id="rId2"/>
    <sheet name="histórico book" sheetId="3" r:id="rId3"/>
  </sheets>
  <externalReferences>
    <externalReference r:id="rId4"/>
    <externalReference r:id="rId5"/>
    <externalReference r:id="rId6"/>
    <externalReference r:id="rId7"/>
  </externalReferences>
  <definedNames>
    <definedName name="__123Graph_A" localSheetId="2" hidden="1">#REF!</definedName>
    <definedName name="__123Graph_A" localSheetId="1" hidden="1">#REF!</definedName>
    <definedName name="__123Graph_A" hidden="1">#REF!</definedName>
    <definedName name="__123Graph_AVPNACUM" localSheetId="2" hidden="1">#REF!</definedName>
    <definedName name="__123Graph_AVPNACUM" localSheetId="1" hidden="1">#REF!</definedName>
    <definedName name="__123Graph_AVPNACUM" hidden="1">#REF!</definedName>
    <definedName name="__123Graph_AVPNFREC" localSheetId="2" hidden="1">#REF!</definedName>
    <definedName name="__123Graph_AVPNFREC" localSheetId="1" hidden="1">#REF!</definedName>
    <definedName name="__123Graph_AVPNFREC" hidden="1">#REF!</definedName>
    <definedName name="__123Graph_AVPNSIGNO" localSheetId="2" hidden="1">#REF!</definedName>
    <definedName name="__123Graph_AVPNSIGNO" localSheetId="1" hidden="1">#REF!</definedName>
    <definedName name="__123Graph_AVPNSIGNO" hidden="1">#REF!</definedName>
    <definedName name="__123Graph_X" localSheetId="2" hidden="1">#REF!</definedName>
    <definedName name="__123Graph_X" localSheetId="1" hidden="1">#REF!</definedName>
    <definedName name="__123Graph_X" hidden="1">#REF!</definedName>
    <definedName name="__123Graph_XVPNACUM" localSheetId="2" hidden="1">#REF!</definedName>
    <definedName name="__123Graph_XVPNACUM" localSheetId="1" hidden="1">#REF!</definedName>
    <definedName name="__123Graph_XVPNACUM" hidden="1">#REF!</definedName>
    <definedName name="__123Graph_XVPNFREC" localSheetId="2" hidden="1">#REF!</definedName>
    <definedName name="__123Graph_XVPNFREC" localSheetId="1" hidden="1">#REF!</definedName>
    <definedName name="__123Graph_XVPNFREC" hidden="1">#REF!</definedName>
    <definedName name="__123Graph_XVPNSIGNO" localSheetId="2" hidden="1">#REF!</definedName>
    <definedName name="__123Graph_XVPNSIGNO" localSheetId="1" hidden="1">#REF!</definedName>
    <definedName name="__123Graph_XVPNSIGNO" hidden="1">#REF!</definedName>
    <definedName name="_EVA2">'[1]FLUJO DE CAJA FINANCIADO'!$A$253</definedName>
    <definedName name="activo_fijo" localSheetId="2">'histórico book'!$D$5</definedName>
    <definedName name="activo_fijo" localSheetId="1">'histórico w dep inv'!$D$5</definedName>
    <definedName name="activo_fijo">Hoja1!$D$5</definedName>
    <definedName name="AR_policy">#REF!</definedName>
    <definedName name="area">#REF!</definedName>
    <definedName name="_xlnm.Print_Area" localSheetId="2">'histórico book'!$A$4:$P$215</definedName>
    <definedName name="_xlnm.Print_Area" localSheetId="1">'histórico w dep inv'!$A$4:$O$224</definedName>
    <definedName name="AUMARR1">#REF!</definedName>
    <definedName name="AUMARR2">#REF!</definedName>
    <definedName name="AUMARR3">#REF!</definedName>
    <definedName name="AUMGG1">#REF!</definedName>
    <definedName name="AUMGG2">#REF!</definedName>
    <definedName name="AUMGG3">#REF!</definedName>
    <definedName name="AUMPC1">#REF!</definedName>
    <definedName name="AUMPC2">#REF!</definedName>
    <definedName name="AUMPC3">#REF!</definedName>
    <definedName name="AUMPV1">#REF!</definedName>
    <definedName name="AUMPV2">#REF!</definedName>
    <definedName name="AUMPV3">#REF!</definedName>
    <definedName name="AUMSAL1">#REF!</definedName>
    <definedName name="AUMSAL2">#REF!</definedName>
    <definedName name="AUMSAL3">#REF!</definedName>
    <definedName name="b_for_table_of_discounts">#REF!</definedName>
    <definedName name="b_for_teble_of_discounts">#REF!</definedName>
    <definedName name="C_purch_price">#REF!</definedName>
    <definedName name="Constant_coefficient_beta0">#REF!</definedName>
    <definedName name="dosvariables" localSheetId="2">[2]FLUJO_DE_CAJA_PROYECTO!#REF!</definedName>
    <definedName name="dosvariables" localSheetId="1">[2]FLUJO_DE_CAJA_PROYECTO!#REF!</definedName>
    <definedName name="dosvariables">[2]FLUJO_DE_CAJA_PROYECTO!#REF!</definedName>
    <definedName name="DUMMY_O_ö_1" localSheetId="2">[2]FLUJO_DE_CAJA_PROYECTO!#REF!</definedName>
    <definedName name="DUMMY_O_ö_1" localSheetId="1">[2]FLUJO_DE_CAJA_PROYECTO!#REF!</definedName>
    <definedName name="DUMMY_O_ö_1">[2]FLUJO_DE_CAJA_PROYECTO!#REF!</definedName>
    <definedName name="Elasticity_coefficient_beta">#REF!</definedName>
    <definedName name="EVA">#REF!</definedName>
    <definedName name="INDIC_CORR_CONST">#REF!</definedName>
    <definedName name="Observed_real_rho">#REF!</definedName>
    <definedName name="patrimonio_inicial" localSheetId="2">'histórico book'!$D$7</definedName>
    <definedName name="patrimonio_inicial" localSheetId="1">'histórico w dep inv'!$D$7</definedName>
    <definedName name="patrimonio_inicial">Hoja1!$D$7</definedName>
    <definedName name="Selling_price_mkt_research">#REF!</definedName>
    <definedName name="tabla" localSheetId="2">'[3]Est fin con MDO var'!#REF!</definedName>
    <definedName name="tabla" localSheetId="1">'[3]Est fin con MDO var'!#REF!</definedName>
    <definedName name="tabla">'[3]Est fin con MDO var'!#REF!</definedName>
    <definedName name="tasa_impuestos" localSheetId="2">'histórico book'!$D$8</definedName>
    <definedName name="tasa_impuestos" localSheetId="1">'histórico w dep inv'!$D$8</definedName>
    <definedName name="tasa_impuestos">Hoja1!$D$8</definedName>
    <definedName name="_xlnm.Print_Titles" localSheetId="2">'histórico book'!$A:$A,'histórico book'!$1:$2</definedName>
    <definedName name="_xlnm.Print_Titles" localSheetId="1">'histórico w dep inv'!$A:$A,'histórico w dep inv'!$1:$2</definedName>
    <definedName name="Total_value">#REF!</definedName>
    <definedName name="valor_firma" localSheetId="2">'histórico book'!#REF!</definedName>
    <definedName name="valor_firma" localSheetId="1">'histórico w dep inv'!#REF!</definedName>
    <definedName name="valor_firma">Hoja1!#REF!</definedName>
    <definedName name="valor_patrimonio" localSheetId="2">'histórico book'!#REF!</definedName>
    <definedName name="valor_patrimonio" localSheetId="1">'histórico w dep inv'!#REF!</definedName>
    <definedName name="valor_patrimonio">Hoja1!#REF!</definedName>
    <definedName name="valores" localSheetId="2">'[3]Est fin con MDO var'!#REF!</definedName>
    <definedName name="valores" localSheetId="1">'[3]Est fin con MDO var'!#REF!</definedName>
    <definedName name="valores">'[3]Est fin con MDO var'!#REF!</definedName>
    <definedName name="VPN" localSheetId="2">'histórico book'!#REF!</definedName>
    <definedName name="VPN" localSheetId="1">'histórico w dep inv'!#REF!</definedName>
    <definedName name="VPN">Hoja1!#REF!</definedName>
    <definedName name="VPN_INVER">#REF!</definedName>
    <definedName name="VPN_reinv_0porciento">#REF!</definedName>
  </definedNames>
  <calcPr calcId="125725"/>
</workbook>
</file>

<file path=xl/calcChain.xml><?xml version="1.0" encoding="utf-8"?>
<calcChain xmlns="http://schemas.openxmlformats.org/spreadsheetml/2006/main">
  <c r="J31" i="2"/>
  <c r="J32"/>
  <c r="J29" i="3"/>
  <c r="J30"/>
  <c r="G135" i="2"/>
  <c r="E135"/>
  <c r="I90" l="1"/>
  <c r="P199"/>
  <c r="J199" l="1"/>
  <c r="P194"/>
  <c r="P154"/>
  <c r="P157"/>
  <c r="P152"/>
  <c r="J152" l="1"/>
  <c r="P146"/>
  <c r="P140"/>
  <c r="J140" l="1"/>
  <c r="P113"/>
  <c r="P136"/>
  <c r="J113" l="1"/>
  <c r="P110"/>
  <c r="J110" l="1"/>
  <c r="P98"/>
  <c r="J98" l="1"/>
  <c r="P92"/>
  <c r="J92" l="1"/>
  <c r="J88"/>
  <c r="J75"/>
  <c r="O210"/>
  <c r="O209"/>
  <c r="D225" l="1"/>
  <c r="F210"/>
  <c r="G210" s="1"/>
  <c r="H210" s="1"/>
  <c r="I210" s="1"/>
  <c r="J210" s="1"/>
  <c r="K210" s="1"/>
  <c r="L210" s="1"/>
  <c r="M210" s="1"/>
  <c r="N210" s="1"/>
  <c r="E210"/>
  <c r="D210"/>
  <c r="E209"/>
  <c r="E211" s="1"/>
  <c r="D209"/>
  <c r="D211" s="1"/>
  <c r="J68"/>
  <c r="J55"/>
  <c r="J54"/>
  <c r="O43"/>
  <c r="P59"/>
  <c r="O28"/>
  <c r="F209" l="1"/>
  <c r="E225"/>
  <c r="L59"/>
  <c r="M59" s="1"/>
  <c r="N59" s="1"/>
  <c r="K59"/>
  <c r="L60"/>
  <c r="J59"/>
  <c r="A37"/>
  <c r="A16"/>
  <c r="D79" i="3"/>
  <c r="E51"/>
  <c r="E72" s="1"/>
  <c r="E73" s="1"/>
  <c r="D52"/>
  <c r="F48"/>
  <c r="G48"/>
  <c r="H48"/>
  <c r="I48"/>
  <c r="D55" i="2"/>
  <c r="E44"/>
  <c r="E55" s="1"/>
  <c r="E54"/>
  <c r="F54" s="1"/>
  <c r="F44"/>
  <c r="F51"/>
  <c r="G44"/>
  <c r="G51"/>
  <c r="H44"/>
  <c r="H51"/>
  <c r="D85"/>
  <c r="E45"/>
  <c r="E85"/>
  <c r="D82"/>
  <c r="F45"/>
  <c r="G45"/>
  <c r="H45"/>
  <c r="K61"/>
  <c r="A61"/>
  <c r="E233" i="3"/>
  <c r="F240" i="2"/>
  <c r="G240"/>
  <c r="H240"/>
  <c r="I240"/>
  <c r="J51"/>
  <c r="A3" i="3"/>
  <c r="A4"/>
  <c r="A5"/>
  <c r="A6"/>
  <c r="A7"/>
  <c r="A8"/>
  <c r="A9"/>
  <c r="A10"/>
  <c r="A11"/>
  <c r="A12"/>
  <c r="A13"/>
  <c r="A14"/>
  <c r="A15"/>
  <c r="A16"/>
  <c r="A17"/>
  <c r="A18"/>
  <c r="A19"/>
  <c r="A20"/>
  <c r="A21"/>
  <c r="D90"/>
  <c r="A22"/>
  <c r="A23"/>
  <c r="A24"/>
  <c r="E59"/>
  <c r="E232" s="1"/>
  <c r="F59"/>
  <c r="F232" s="1"/>
  <c r="G59"/>
  <c r="G232" s="1"/>
  <c r="H59"/>
  <c r="H232" s="1"/>
  <c r="I59"/>
  <c r="I232" s="1"/>
  <c r="A25"/>
  <c r="A26"/>
  <c r="A27"/>
  <c r="A28"/>
  <c r="A29"/>
  <c r="A30"/>
  <c r="A31"/>
  <c r="A32"/>
  <c r="A33"/>
  <c r="A34"/>
  <c r="A35"/>
  <c r="F35"/>
  <c r="G35"/>
  <c r="H35" s="1"/>
  <c r="I35" s="1"/>
  <c r="J35" s="1"/>
  <c r="K35" s="1"/>
  <c r="L35" s="1"/>
  <c r="M35" s="1"/>
  <c r="N35" s="1"/>
  <c r="A36"/>
  <c r="A37"/>
  <c r="A38"/>
  <c r="A39"/>
  <c r="A40"/>
  <c r="A41"/>
  <c r="E41"/>
  <c r="F41"/>
  <c r="G41"/>
  <c r="H41"/>
  <c r="I41"/>
  <c r="A42"/>
  <c r="E42"/>
  <c r="E79" s="1"/>
  <c r="F42"/>
  <c r="G42"/>
  <c r="H42"/>
  <c r="I42"/>
  <c r="A43"/>
  <c r="E43"/>
  <c r="F43"/>
  <c r="G43"/>
  <c r="H43"/>
  <c r="I43"/>
  <c r="A44"/>
  <c r="E44"/>
  <c r="E90" s="1"/>
  <c r="F44"/>
  <c r="G44"/>
  <c r="H44"/>
  <c r="I44"/>
  <c r="A45"/>
  <c r="E45"/>
  <c r="F45"/>
  <c r="G45"/>
  <c r="H45"/>
  <c r="I45"/>
  <c r="J45"/>
  <c r="K45"/>
  <c r="L45"/>
  <c r="M45"/>
  <c r="N45"/>
  <c r="A46"/>
  <c r="A47"/>
  <c r="A48"/>
  <c r="E48"/>
  <c r="A49"/>
  <c r="A50"/>
  <c r="A51"/>
  <c r="A52"/>
  <c r="A53"/>
  <c r="A54"/>
  <c r="A55"/>
  <c r="A56"/>
  <c r="E56"/>
  <c r="A57"/>
  <c r="A58"/>
  <c r="E58"/>
  <c r="F58"/>
  <c r="G58"/>
  <c r="H58"/>
  <c r="I58"/>
  <c r="A59"/>
  <c r="K59"/>
  <c r="L59"/>
  <c r="M59"/>
  <c r="N59"/>
  <c r="A60"/>
  <c r="E60"/>
  <c r="F60"/>
  <c r="G60"/>
  <c r="H60"/>
  <c r="I60"/>
  <c r="A61"/>
  <c r="A62"/>
  <c r="A63"/>
  <c r="A64"/>
  <c r="A65"/>
  <c r="A66"/>
  <c r="A67"/>
  <c r="D67"/>
  <c r="D68"/>
  <c r="E67"/>
  <c r="F67"/>
  <c r="G67"/>
  <c r="I67"/>
  <c r="J67"/>
  <c r="K67"/>
  <c r="L67"/>
  <c r="M65" s="1"/>
  <c r="M67"/>
  <c r="N67"/>
  <c r="A68"/>
  <c r="A69"/>
  <c r="A70"/>
  <c r="A71"/>
  <c r="A72"/>
  <c r="A73"/>
  <c r="D73"/>
  <c r="E74" s="1"/>
  <c r="A74"/>
  <c r="D74"/>
  <c r="A75"/>
  <c r="A76"/>
  <c r="A77"/>
  <c r="A78"/>
  <c r="D78"/>
  <c r="A79"/>
  <c r="A80"/>
  <c r="A81"/>
  <c r="A82"/>
  <c r="D82"/>
  <c r="A83"/>
  <c r="A84"/>
  <c r="A85"/>
  <c r="R85"/>
  <c r="A86"/>
  <c r="D86"/>
  <c r="E86" s="1"/>
  <c r="A87"/>
  <c r="A88"/>
  <c r="A89"/>
  <c r="A90"/>
  <c r="A91"/>
  <c r="A92"/>
  <c r="A93"/>
  <c r="A94"/>
  <c r="A95"/>
  <c r="A96"/>
  <c r="A97"/>
  <c r="A98"/>
  <c r="A99"/>
  <c r="D107"/>
  <c r="A100"/>
  <c r="A101"/>
  <c r="A102"/>
  <c r="A103"/>
  <c r="D103"/>
  <c r="A104"/>
  <c r="D104"/>
  <c r="D105" s="1"/>
  <c r="E104"/>
  <c r="A105"/>
  <c r="A106"/>
  <c r="A107"/>
  <c r="A108"/>
  <c r="A109"/>
  <c r="A110"/>
  <c r="A111"/>
  <c r="A112"/>
  <c r="A113"/>
  <c r="A114"/>
  <c r="D114"/>
  <c r="A115"/>
  <c r="A116"/>
  <c r="A117"/>
  <c r="A118"/>
  <c r="A119"/>
  <c r="A120"/>
  <c r="D122"/>
  <c r="D124" s="1"/>
  <c r="A121"/>
  <c r="A122"/>
  <c r="A123"/>
  <c r="E123"/>
  <c r="E124" s="1"/>
  <c r="F123"/>
  <c r="F124" s="1"/>
  <c r="G123"/>
  <c r="G124" s="1"/>
  <c r="I123"/>
  <c r="J123"/>
  <c r="J124" s="1"/>
  <c r="K123"/>
  <c r="K124" s="1"/>
  <c r="M123"/>
  <c r="N123"/>
  <c r="A124"/>
  <c r="I124"/>
  <c r="L124"/>
  <c r="M124"/>
  <c r="N124"/>
  <c r="A125"/>
  <c r="A126"/>
  <c r="A127"/>
  <c r="A128"/>
  <c r="A129"/>
  <c r="A130"/>
  <c r="A131"/>
  <c r="A132"/>
  <c r="J132"/>
  <c r="K132"/>
  <c r="L132"/>
  <c r="M132"/>
  <c r="N132"/>
  <c r="A133"/>
  <c r="A134"/>
  <c r="A135"/>
  <c r="E161"/>
  <c r="E169" s="1"/>
  <c r="A136"/>
  <c r="E173"/>
  <c r="E136" s="1"/>
  <c r="A137"/>
  <c r="A138"/>
  <c r="A139"/>
  <c r="A140"/>
  <c r="D140"/>
  <c r="D143" s="1"/>
  <c r="A141"/>
  <c r="E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F161"/>
  <c r="F177" s="1"/>
  <c r="F297" s="1"/>
  <c r="G161"/>
  <c r="H161"/>
  <c r="H177" s="1"/>
  <c r="H297" s="1"/>
  <c r="H305" s="1"/>
  <c r="I161"/>
  <c r="A162"/>
  <c r="A163"/>
  <c r="A164"/>
  <c r="A165"/>
  <c r="A166"/>
  <c r="A167"/>
  <c r="A168"/>
  <c r="A169"/>
  <c r="G169"/>
  <c r="I169"/>
  <c r="A170"/>
  <c r="A171"/>
  <c r="A172"/>
  <c r="A173"/>
  <c r="A174"/>
  <c r="A175"/>
  <c r="A176"/>
  <c r="D176"/>
  <c r="E171" s="1"/>
  <c r="E292" s="1"/>
  <c r="A177"/>
  <c r="G177"/>
  <c r="I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D199"/>
  <c r="A200"/>
  <c r="A201"/>
  <c r="A202"/>
  <c r="A203"/>
  <c r="D203"/>
  <c r="A204"/>
  <c r="A205"/>
  <c r="A206"/>
  <c r="A207"/>
  <c r="A208"/>
  <c r="A209"/>
  <c r="A210"/>
  <c r="A211"/>
  <c r="D211"/>
  <c r="E211" s="1"/>
  <c r="F211" s="1"/>
  <c r="G211" s="1"/>
  <c r="H211" s="1"/>
  <c r="I211" s="1"/>
  <c r="J211" s="1"/>
  <c r="K211" s="1"/>
  <c r="L211" s="1"/>
  <c r="M211" s="1"/>
  <c r="N211" s="1"/>
  <c r="A212"/>
  <c r="D212"/>
  <c r="A213"/>
  <c r="A214"/>
  <c r="A215"/>
  <c r="A216"/>
  <c r="A217"/>
  <c r="A218"/>
  <c r="A219"/>
  <c r="A220"/>
  <c r="A221"/>
  <c r="A223"/>
  <c r="A224"/>
  <c r="A225"/>
  <c r="A226"/>
  <c r="A227"/>
  <c r="C229"/>
  <c r="D229"/>
  <c r="E229"/>
  <c r="F229"/>
  <c r="G229"/>
  <c r="H229"/>
  <c r="I229"/>
  <c r="J229"/>
  <c r="K229"/>
  <c r="L229"/>
  <c r="M229"/>
  <c r="N229"/>
  <c r="E231"/>
  <c r="F231"/>
  <c r="G231"/>
  <c r="H231"/>
  <c r="I231"/>
  <c r="D234"/>
  <c r="D235"/>
  <c r="F252"/>
  <c r="P265"/>
  <c r="J270"/>
  <c r="K270"/>
  <c r="L270"/>
  <c r="M270"/>
  <c r="N270"/>
  <c r="E291"/>
  <c r="F291"/>
  <c r="G291"/>
  <c r="H291"/>
  <c r="I291"/>
  <c r="J291"/>
  <c r="K291"/>
  <c r="L291"/>
  <c r="M291"/>
  <c r="N291"/>
  <c r="C292"/>
  <c r="D292"/>
  <c r="C293"/>
  <c r="D293"/>
  <c r="C294"/>
  <c r="D294"/>
  <c r="E294"/>
  <c r="C295"/>
  <c r="D295"/>
  <c r="C296"/>
  <c r="D296"/>
  <c r="C297"/>
  <c r="D297"/>
  <c r="G297"/>
  <c r="I297"/>
  <c r="I305"/>
  <c r="H299"/>
  <c r="I299"/>
  <c r="J299"/>
  <c r="K299"/>
  <c r="L299"/>
  <c r="M299"/>
  <c r="N299"/>
  <c r="O299"/>
  <c r="P299" s="1"/>
  <c r="Q299" s="1"/>
  <c r="R299" s="1"/>
  <c r="O333"/>
  <c r="S390"/>
  <c r="T390"/>
  <c r="U390"/>
  <c r="V390"/>
  <c r="S391"/>
  <c r="T391"/>
  <c r="U391"/>
  <c r="V391"/>
  <c r="S392"/>
  <c r="T392"/>
  <c r="U392"/>
  <c r="V392"/>
  <c r="S393"/>
  <c r="T393"/>
  <c r="U393"/>
  <c r="V393"/>
  <c r="S394"/>
  <c r="T394"/>
  <c r="U394"/>
  <c r="V394"/>
  <c r="S395"/>
  <c r="T395"/>
  <c r="U395"/>
  <c r="V395"/>
  <c r="S396"/>
  <c r="T396"/>
  <c r="U396"/>
  <c r="V396"/>
  <c r="S397"/>
  <c r="T397"/>
  <c r="U397"/>
  <c r="V397"/>
  <c r="S398"/>
  <c r="T398"/>
  <c r="U398"/>
  <c r="V398"/>
  <c r="S399"/>
  <c r="T399"/>
  <c r="U399"/>
  <c r="V399"/>
  <c r="S400"/>
  <c r="T400"/>
  <c r="U400"/>
  <c r="V400"/>
  <c r="B418"/>
  <c r="B420"/>
  <c r="B421"/>
  <c r="B423"/>
  <c r="B424"/>
  <c r="B425"/>
  <c r="B426"/>
  <c r="B427"/>
  <c r="B428"/>
  <c r="B432"/>
  <c r="B433"/>
  <c r="B434"/>
  <c r="J434"/>
  <c r="B435"/>
  <c r="B436"/>
  <c r="B437"/>
  <c r="B438"/>
  <c r="B439"/>
  <c r="B441"/>
  <c r="B442"/>
  <c r="B443"/>
  <c r="B444"/>
  <c r="B445"/>
  <c r="B446"/>
  <c r="B447"/>
  <c r="B461"/>
  <c r="C461"/>
  <c r="D461"/>
  <c r="E461"/>
  <c r="F461"/>
  <c r="G461"/>
  <c r="H461"/>
  <c r="I461"/>
  <c r="B462"/>
  <c r="C462"/>
  <c r="D462"/>
  <c r="E462"/>
  <c r="F462"/>
  <c r="G462"/>
  <c r="H462"/>
  <c r="I462"/>
  <c r="B463"/>
  <c r="C463"/>
  <c r="D463"/>
  <c r="E463"/>
  <c r="F463"/>
  <c r="G463"/>
  <c r="H463"/>
  <c r="I463"/>
  <c r="B464"/>
  <c r="C464"/>
  <c r="D464"/>
  <c r="E464"/>
  <c r="F464"/>
  <c r="G464"/>
  <c r="H464"/>
  <c r="I464"/>
  <c r="B465"/>
  <c r="C465"/>
  <c r="D465"/>
  <c r="E465"/>
  <c r="F465"/>
  <c r="G465"/>
  <c r="H465"/>
  <c r="I465"/>
  <c r="B466"/>
  <c r="C466"/>
  <c r="D466"/>
  <c r="E466"/>
  <c r="F466"/>
  <c r="G466"/>
  <c r="H466"/>
  <c r="I466"/>
  <c r="B467"/>
  <c r="B469"/>
  <c r="C469"/>
  <c r="D469"/>
  <c r="E469"/>
  <c r="F469"/>
  <c r="G469"/>
  <c r="H469"/>
  <c r="I469"/>
  <c r="B470"/>
  <c r="C470"/>
  <c r="D470"/>
  <c r="E470"/>
  <c r="F470"/>
  <c r="G470"/>
  <c r="H470"/>
  <c r="I470"/>
  <c r="B471"/>
  <c r="C471"/>
  <c r="D471"/>
  <c r="E471"/>
  <c r="F471"/>
  <c r="G471"/>
  <c r="H471"/>
  <c r="I471"/>
  <c r="B472"/>
  <c r="C472"/>
  <c r="D472"/>
  <c r="E472"/>
  <c r="F472"/>
  <c r="G472"/>
  <c r="H472"/>
  <c r="I472"/>
  <c r="B473"/>
  <c r="C473"/>
  <c r="D473"/>
  <c r="E473"/>
  <c r="F473"/>
  <c r="G473"/>
  <c r="H473"/>
  <c r="I473"/>
  <c r="B474"/>
  <c r="C474"/>
  <c r="D474"/>
  <c r="E474"/>
  <c r="F474"/>
  <c r="G474"/>
  <c r="H474"/>
  <c r="I474"/>
  <c r="B475"/>
  <c r="C475"/>
  <c r="D475"/>
  <c r="E475"/>
  <c r="F475"/>
  <c r="G475"/>
  <c r="H475"/>
  <c r="I475"/>
  <c r="B476"/>
  <c r="C476"/>
  <c r="D476"/>
  <c r="E476"/>
  <c r="F476"/>
  <c r="G476"/>
  <c r="H476"/>
  <c r="I476"/>
  <c r="B477"/>
  <c r="C477"/>
  <c r="D477"/>
  <c r="E477"/>
  <c r="F477"/>
  <c r="G477"/>
  <c r="H477"/>
  <c r="I477"/>
  <c r="K498"/>
  <c r="L498" s="1"/>
  <c r="M498" s="1"/>
  <c r="N498" s="1"/>
  <c r="A3" i="2"/>
  <c r="A4"/>
  <c r="A5"/>
  <c r="A6"/>
  <c r="A7"/>
  <c r="A8"/>
  <c r="A9"/>
  <c r="A10"/>
  <c r="A11"/>
  <c r="A12"/>
  <c r="A13"/>
  <c r="A14"/>
  <c r="A15"/>
  <c r="A17"/>
  <c r="A18"/>
  <c r="A19"/>
  <c r="A20"/>
  <c r="E244"/>
  <c r="A21"/>
  <c r="D92"/>
  <c r="E46"/>
  <c r="F46"/>
  <c r="G46"/>
  <c r="H46"/>
  <c r="A22"/>
  <c r="D96"/>
  <c r="E47"/>
  <c r="E96" s="1"/>
  <c r="F96" s="1"/>
  <c r="F47"/>
  <c r="G47"/>
  <c r="H47"/>
  <c r="A23"/>
  <c r="A24"/>
  <c r="D24"/>
  <c r="A25"/>
  <c r="E28"/>
  <c r="E241"/>
  <c r="E240"/>
  <c r="F28"/>
  <c r="F241" s="1"/>
  <c r="F278" s="1"/>
  <c r="G28"/>
  <c r="G241"/>
  <c r="G278" s="1"/>
  <c r="H28"/>
  <c r="H241" s="1"/>
  <c r="H278" s="1"/>
  <c r="I241"/>
  <c r="I278" s="1"/>
  <c r="A26"/>
  <c r="A27"/>
  <c r="A28"/>
  <c r="L61"/>
  <c r="M61"/>
  <c r="N61"/>
  <c r="A29"/>
  <c r="A30"/>
  <c r="A31"/>
  <c r="A32"/>
  <c r="A33"/>
  <c r="R33"/>
  <c r="S33"/>
  <c r="T33"/>
  <c r="U33"/>
  <c r="V33"/>
  <c r="A34"/>
  <c r="A35"/>
  <c r="A36"/>
  <c r="A38"/>
  <c r="F38"/>
  <c r="G38" s="1"/>
  <c r="H38" s="1"/>
  <c r="A39"/>
  <c r="A40"/>
  <c r="A41"/>
  <c r="A42"/>
  <c r="A43"/>
  <c r="A44"/>
  <c r="A45"/>
  <c r="A46"/>
  <c r="A47"/>
  <c r="A48"/>
  <c r="E48"/>
  <c r="F48"/>
  <c r="G48"/>
  <c r="H48"/>
  <c r="J48"/>
  <c r="K48"/>
  <c r="L48"/>
  <c r="M48"/>
  <c r="N48"/>
  <c r="A49"/>
  <c r="A50"/>
  <c r="A51"/>
  <c r="E51"/>
  <c r="K51"/>
  <c r="L51"/>
  <c r="M51"/>
  <c r="N51"/>
  <c r="A52"/>
  <c r="A53"/>
  <c r="A54"/>
  <c r="A55"/>
  <c r="A56"/>
  <c r="A57"/>
  <c r="A58"/>
  <c r="A59"/>
  <c r="E59"/>
  <c r="F59" s="1"/>
  <c r="G59" s="1"/>
  <c r="H59" s="1"/>
  <c r="A60"/>
  <c r="A62"/>
  <c r="E62"/>
  <c r="F62"/>
  <c r="G62"/>
  <c r="H62"/>
  <c r="A63"/>
  <c r="E63"/>
  <c r="F63"/>
  <c r="G63"/>
  <c r="H63"/>
  <c r="A64"/>
  <c r="A65"/>
  <c r="A66"/>
  <c r="A67"/>
  <c r="D76"/>
  <c r="D77" s="1"/>
  <c r="E76"/>
  <c r="F76"/>
  <c r="G76"/>
  <c r="J69"/>
  <c r="K69" s="1"/>
  <c r="L69" s="1"/>
  <c r="M69" s="1"/>
  <c r="A68"/>
  <c r="A69"/>
  <c r="A70"/>
  <c r="A71"/>
  <c r="A72"/>
  <c r="A73"/>
  <c r="A74"/>
  <c r="A75"/>
  <c r="A76"/>
  <c r="A77"/>
  <c r="A78"/>
  <c r="A79"/>
  <c r="A80"/>
  <c r="A81"/>
  <c r="A82"/>
  <c r="A83"/>
  <c r="D83"/>
  <c r="D88" s="1"/>
  <c r="A84"/>
  <c r="D84"/>
  <c r="D89" s="1"/>
  <c r="A85"/>
  <c r="A86"/>
  <c r="A87"/>
  <c r="A88"/>
  <c r="A89"/>
  <c r="A90"/>
  <c r="A91"/>
  <c r="Q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D109"/>
  <c r="A110"/>
  <c r="D110"/>
  <c r="D111" s="1"/>
  <c r="E110"/>
  <c r="A111"/>
  <c r="A112"/>
  <c r="A113"/>
  <c r="D113"/>
  <c r="A114"/>
  <c r="A115"/>
  <c r="A116"/>
  <c r="A117"/>
  <c r="A118"/>
  <c r="A119"/>
  <c r="A120"/>
  <c r="D120"/>
  <c r="A121"/>
  <c r="A122"/>
  <c r="A123"/>
  <c r="A124"/>
  <c r="A125"/>
  <c r="A126"/>
  <c r="A127"/>
  <c r="A128"/>
  <c r="D128"/>
  <c r="D130" s="1"/>
  <c r="A129"/>
  <c r="E129"/>
  <c r="E130" s="1"/>
  <c r="F129"/>
  <c r="G129"/>
  <c r="G130"/>
  <c r="A130"/>
  <c r="F130"/>
  <c r="A131"/>
  <c r="A132"/>
  <c r="A133"/>
  <c r="A134"/>
  <c r="A135"/>
  <c r="A136"/>
  <c r="A137"/>
  <c r="A138"/>
  <c r="A139"/>
  <c r="A140"/>
  <c r="A141"/>
  <c r="E167"/>
  <c r="E175" s="1"/>
  <c r="A142"/>
  <c r="E179"/>
  <c r="E142" s="1"/>
  <c r="A143"/>
  <c r="D182"/>
  <c r="A144"/>
  <c r="A145"/>
  <c r="A146"/>
  <c r="D146"/>
  <c r="D149" s="1"/>
  <c r="A147"/>
  <c r="E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F167"/>
  <c r="F183" s="1"/>
  <c r="F327" s="1"/>
  <c r="G167"/>
  <c r="H167"/>
  <c r="H183" s="1"/>
  <c r="H327" s="1"/>
  <c r="H335" s="1"/>
  <c r="A168"/>
  <c r="A169"/>
  <c r="A170"/>
  <c r="A171"/>
  <c r="A172"/>
  <c r="A173"/>
  <c r="A174"/>
  <c r="A175"/>
  <c r="F175"/>
  <c r="G175"/>
  <c r="H175"/>
  <c r="A176"/>
  <c r="A177"/>
  <c r="E177"/>
  <c r="A178"/>
  <c r="A179"/>
  <c r="A180"/>
  <c r="A181"/>
  <c r="A182"/>
  <c r="A183"/>
  <c r="G183"/>
  <c r="A184"/>
  <c r="A185"/>
  <c r="A186"/>
  <c r="A187"/>
  <c r="A188"/>
  <c r="A189"/>
  <c r="A190"/>
  <c r="A191"/>
  <c r="A192"/>
  <c r="A193"/>
  <c r="A194"/>
  <c r="A195"/>
  <c r="A196"/>
  <c r="A197"/>
  <c r="A198"/>
  <c r="A199"/>
  <c r="E199"/>
  <c r="A200"/>
  <c r="A201"/>
  <c r="A202"/>
  <c r="A203"/>
  <c r="A204"/>
  <c r="A205"/>
  <c r="D205"/>
  <c r="A206"/>
  <c r="A207"/>
  <c r="A208"/>
  <c r="A211"/>
  <c r="A212"/>
  <c r="A213"/>
  <c r="A214"/>
  <c r="A215"/>
  <c r="A216"/>
  <c r="A217"/>
  <c r="A218"/>
  <c r="A219"/>
  <c r="D219"/>
  <c r="E219" s="1"/>
  <c r="F219" s="1"/>
  <c r="G219" s="1"/>
  <c r="H219" s="1"/>
  <c r="A220"/>
  <c r="D220"/>
  <c r="E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C238"/>
  <c r="D238"/>
  <c r="E238"/>
  <c r="F238"/>
  <c r="G238"/>
  <c r="H238"/>
  <c r="I238"/>
  <c r="J238"/>
  <c r="K238"/>
  <c r="L238"/>
  <c r="M238"/>
  <c r="N238"/>
  <c r="A239"/>
  <c r="M241"/>
  <c r="M242" s="1"/>
  <c r="E242"/>
  <c r="D243"/>
  <c r="D244"/>
  <c r="F246"/>
  <c r="D259"/>
  <c r="E259"/>
  <c r="D260"/>
  <c r="E261"/>
  <c r="J273"/>
  <c r="K273"/>
  <c r="L273"/>
  <c r="M273"/>
  <c r="N273"/>
  <c r="P294"/>
  <c r="J299"/>
  <c r="K299"/>
  <c r="L299"/>
  <c r="M299"/>
  <c r="N299"/>
  <c r="E321"/>
  <c r="F321"/>
  <c r="G321"/>
  <c r="H321"/>
  <c r="I321"/>
  <c r="J321"/>
  <c r="K321"/>
  <c r="L321"/>
  <c r="M321"/>
  <c r="N321"/>
  <c r="C322"/>
  <c r="D322"/>
  <c r="E322"/>
  <c r="C323"/>
  <c r="D323"/>
  <c r="C324"/>
  <c r="D324"/>
  <c r="E324"/>
  <c r="C325"/>
  <c r="D325"/>
  <c r="C326"/>
  <c r="D326"/>
  <c r="C327"/>
  <c r="D327"/>
  <c r="G327"/>
  <c r="I327"/>
  <c r="H329"/>
  <c r="I329"/>
  <c r="J329"/>
  <c r="K329"/>
  <c r="L329"/>
  <c r="M329"/>
  <c r="N329"/>
  <c r="O329" s="1"/>
  <c r="P329" s="1"/>
  <c r="Q329" s="1"/>
  <c r="R329" s="1"/>
  <c r="I335"/>
  <c r="O363"/>
  <c r="S420"/>
  <c r="T420"/>
  <c r="U420"/>
  <c r="V420"/>
  <c r="S421"/>
  <c r="T421"/>
  <c r="U421"/>
  <c r="V421"/>
  <c r="S422"/>
  <c r="T422"/>
  <c r="U422"/>
  <c r="V422"/>
  <c r="S423"/>
  <c r="T423"/>
  <c r="U423"/>
  <c r="V423"/>
  <c r="S424"/>
  <c r="T424"/>
  <c r="U424"/>
  <c r="V424"/>
  <c r="S425"/>
  <c r="T425"/>
  <c r="U425"/>
  <c r="V425"/>
  <c r="S426"/>
  <c r="T426"/>
  <c r="U426"/>
  <c r="V426"/>
  <c r="S427"/>
  <c r="T427"/>
  <c r="U427"/>
  <c r="V427"/>
  <c r="S428"/>
  <c r="T428"/>
  <c r="U428"/>
  <c r="V428"/>
  <c r="S429"/>
  <c r="T429"/>
  <c r="U429"/>
  <c r="V429"/>
  <c r="S430"/>
  <c r="T430"/>
  <c r="U430"/>
  <c r="V430"/>
  <c r="B448"/>
  <c r="B450"/>
  <c r="B451"/>
  <c r="B453"/>
  <c r="B454"/>
  <c r="B455"/>
  <c r="B456"/>
  <c r="B457"/>
  <c r="B458"/>
  <c r="B462"/>
  <c r="B463"/>
  <c r="B464"/>
  <c r="J464"/>
  <c r="B465"/>
  <c r="B466"/>
  <c r="B467"/>
  <c r="B468"/>
  <c r="B469"/>
  <c r="B471"/>
  <c r="B472"/>
  <c r="B473"/>
  <c r="B474"/>
  <c r="B475"/>
  <c r="B476"/>
  <c r="B477"/>
  <c r="B491"/>
  <c r="C491"/>
  <c r="D491"/>
  <c r="E491"/>
  <c r="F491"/>
  <c r="G491"/>
  <c r="H491"/>
  <c r="I491"/>
  <c r="B492"/>
  <c r="C492"/>
  <c r="D492"/>
  <c r="E492"/>
  <c r="F492"/>
  <c r="G492"/>
  <c r="H492"/>
  <c r="I492"/>
  <c r="B493"/>
  <c r="C493"/>
  <c r="D493"/>
  <c r="E493"/>
  <c r="F493"/>
  <c r="G493"/>
  <c r="H493"/>
  <c r="I493"/>
  <c r="B494"/>
  <c r="C494"/>
  <c r="D494"/>
  <c r="E494"/>
  <c r="F494"/>
  <c r="G494"/>
  <c r="H494"/>
  <c r="I494"/>
  <c r="B495"/>
  <c r="C495"/>
  <c r="D495"/>
  <c r="E495"/>
  <c r="F495"/>
  <c r="G495"/>
  <c r="H495"/>
  <c r="I495"/>
  <c r="B496"/>
  <c r="C496"/>
  <c r="D496"/>
  <c r="E496"/>
  <c r="F496"/>
  <c r="G496"/>
  <c r="H496"/>
  <c r="I496"/>
  <c r="B497"/>
  <c r="B499"/>
  <c r="C499"/>
  <c r="D499"/>
  <c r="E499"/>
  <c r="F499"/>
  <c r="G499"/>
  <c r="H499"/>
  <c r="I499"/>
  <c r="B500"/>
  <c r="C500"/>
  <c r="D500"/>
  <c r="E500"/>
  <c r="F500"/>
  <c r="G500"/>
  <c r="H500"/>
  <c r="I500"/>
  <c r="B501"/>
  <c r="C501"/>
  <c r="D501"/>
  <c r="E501"/>
  <c r="F501"/>
  <c r="G501"/>
  <c r="H501"/>
  <c r="I501"/>
  <c r="B502"/>
  <c r="C502"/>
  <c r="D502"/>
  <c r="E502"/>
  <c r="F502"/>
  <c r="G502"/>
  <c r="H502"/>
  <c r="I502"/>
  <c r="B503"/>
  <c r="C503"/>
  <c r="D503"/>
  <c r="E503"/>
  <c r="F503"/>
  <c r="G503"/>
  <c r="H503"/>
  <c r="I503"/>
  <c r="B504"/>
  <c r="C504"/>
  <c r="D504"/>
  <c r="E504"/>
  <c r="F504"/>
  <c r="G504"/>
  <c r="H504"/>
  <c r="I504"/>
  <c r="B505"/>
  <c r="C505"/>
  <c r="D505"/>
  <c r="E505"/>
  <c r="F505"/>
  <c r="G505"/>
  <c r="H505"/>
  <c r="I505"/>
  <c r="B506"/>
  <c r="C506"/>
  <c r="D506"/>
  <c r="E506"/>
  <c r="F506"/>
  <c r="G506"/>
  <c r="H506"/>
  <c r="I506"/>
  <c r="B507"/>
  <c r="C507"/>
  <c r="D507"/>
  <c r="E507"/>
  <c r="F507"/>
  <c r="G507"/>
  <c r="H507"/>
  <c r="I507"/>
  <c r="K528"/>
  <c r="L528" s="1"/>
  <c r="M528" s="1"/>
  <c r="N528" s="1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J24"/>
  <c r="K24" s="1"/>
  <c r="A25"/>
  <c r="A26"/>
  <c r="A27"/>
  <c r="A28"/>
  <c r="A29"/>
  <c r="A30"/>
  <c r="A31"/>
  <c r="A32"/>
  <c r="A33"/>
  <c r="A34"/>
  <c r="A35"/>
  <c r="A36"/>
  <c r="A37"/>
  <c r="A38"/>
  <c r="A39"/>
  <c r="A40"/>
  <c r="A41"/>
  <c r="E41"/>
  <c r="F41"/>
  <c r="G41"/>
  <c r="H41"/>
  <c r="I41"/>
  <c r="J41"/>
  <c r="K41"/>
  <c r="L41"/>
  <c r="M41"/>
  <c r="N41"/>
  <c r="A42"/>
  <c r="E42"/>
  <c r="F42"/>
  <c r="G42"/>
  <c r="H42"/>
  <c r="I42"/>
  <c r="J42"/>
  <c r="K42"/>
  <c r="L42"/>
  <c r="M42"/>
  <c r="N42"/>
  <c r="A43"/>
  <c r="E43"/>
  <c r="F43"/>
  <c r="G43"/>
  <c r="H43"/>
  <c r="I43"/>
  <c r="J43"/>
  <c r="K43"/>
  <c r="L43"/>
  <c r="M43"/>
  <c r="N43"/>
  <c r="A44"/>
  <c r="E44"/>
  <c r="F44"/>
  <c r="G44"/>
  <c r="H44"/>
  <c r="I44"/>
  <c r="J44"/>
  <c r="K44"/>
  <c r="L44"/>
  <c r="M44"/>
  <c r="N44"/>
  <c r="A45"/>
  <c r="E45"/>
  <c r="F45"/>
  <c r="G45"/>
  <c r="H45"/>
  <c r="I45"/>
  <c r="J45"/>
  <c r="K45"/>
  <c r="L45"/>
  <c r="M45"/>
  <c r="N45"/>
  <c r="A46"/>
  <c r="A47"/>
  <c r="A48"/>
  <c r="E48"/>
  <c r="F48"/>
  <c r="G48"/>
  <c r="H48"/>
  <c r="I48"/>
  <c r="J48"/>
  <c r="K48"/>
  <c r="L48"/>
  <c r="M48"/>
  <c r="N48"/>
  <c r="A49"/>
  <c r="A50"/>
  <c r="A51"/>
  <c r="E51"/>
  <c r="F51" s="1"/>
  <c r="A52"/>
  <c r="D52"/>
  <c r="E52" s="1"/>
  <c r="A53"/>
  <c r="A54"/>
  <c r="A55"/>
  <c r="A56"/>
  <c r="E56"/>
  <c r="F56" s="1"/>
  <c r="G56" s="1"/>
  <c r="H56" s="1"/>
  <c r="A57"/>
  <c r="A58"/>
  <c r="E58"/>
  <c r="F58"/>
  <c r="G58"/>
  <c r="H58"/>
  <c r="I58"/>
  <c r="J58"/>
  <c r="K58"/>
  <c r="L58"/>
  <c r="M58"/>
  <c r="N58"/>
  <c r="A59"/>
  <c r="E59"/>
  <c r="F59"/>
  <c r="F60" s="1"/>
  <c r="F159" s="1"/>
  <c r="G59"/>
  <c r="H59"/>
  <c r="H60" s="1"/>
  <c r="H159" s="1"/>
  <c r="I59"/>
  <c r="J59"/>
  <c r="J60" s="1"/>
  <c r="J159" s="1"/>
  <c r="A60"/>
  <c r="E60"/>
  <c r="E159" s="1"/>
  <c r="G60"/>
  <c r="I60"/>
  <c r="I159" s="1"/>
  <c r="A61"/>
  <c r="A62"/>
  <c r="A63"/>
  <c r="A64"/>
  <c r="A65"/>
  <c r="A66"/>
  <c r="A67"/>
  <c r="D67"/>
  <c r="E67"/>
  <c r="F67"/>
  <c r="G67"/>
  <c r="I67"/>
  <c r="J67"/>
  <c r="K67"/>
  <c r="L67"/>
  <c r="N67"/>
  <c r="A68"/>
  <c r="D68"/>
  <c r="H65" s="1"/>
  <c r="H182" s="1"/>
  <c r="H191" s="1"/>
  <c r="H141" s="1"/>
  <c r="A69"/>
  <c r="A70"/>
  <c r="A71"/>
  <c r="A72"/>
  <c r="E72"/>
  <c r="A73"/>
  <c r="D73"/>
  <c r="E74" s="1"/>
  <c r="A74"/>
  <c r="D74"/>
  <c r="A75"/>
  <c r="A76"/>
  <c r="A77"/>
  <c r="A78"/>
  <c r="D78"/>
  <c r="A79"/>
  <c r="D79"/>
  <c r="E79"/>
  <c r="F79" s="1"/>
  <c r="A80"/>
  <c r="A81"/>
  <c r="A82"/>
  <c r="D82"/>
  <c r="A83"/>
  <c r="A84"/>
  <c r="D84"/>
  <c r="E82" s="1"/>
  <c r="A85"/>
  <c r="A86"/>
  <c r="D86"/>
  <c r="E86" s="1"/>
  <c r="A87"/>
  <c r="A88"/>
  <c r="A89"/>
  <c r="D89"/>
  <c r="E89" s="1"/>
  <c r="F89" s="1"/>
  <c r="G89" s="1"/>
  <c r="H89" s="1"/>
  <c r="I89" s="1"/>
  <c r="J89" s="1"/>
  <c r="K89" s="1"/>
  <c r="L89" s="1"/>
  <c r="M89" s="1"/>
  <c r="N89" s="1"/>
  <c r="A90"/>
  <c r="A91"/>
  <c r="A92"/>
  <c r="A93"/>
  <c r="A94"/>
  <c r="A95"/>
  <c r="A96"/>
  <c r="A97"/>
  <c r="A98"/>
  <c r="A99"/>
  <c r="A100"/>
  <c r="A101"/>
  <c r="A102"/>
  <c r="D102"/>
  <c r="A103"/>
  <c r="D103"/>
  <c r="D104" s="1"/>
  <c r="E103"/>
  <c r="A104"/>
  <c r="A105"/>
  <c r="A106"/>
  <c r="D106"/>
  <c r="A107"/>
  <c r="A108"/>
  <c r="A109"/>
  <c r="A110"/>
  <c r="A111"/>
  <c r="A112"/>
  <c r="A113"/>
  <c r="D113"/>
  <c r="A114"/>
  <c r="A115"/>
  <c r="A116"/>
  <c r="A117"/>
  <c r="A118"/>
  <c r="A119"/>
  <c r="A120"/>
  <c r="A121"/>
  <c r="D121"/>
  <c r="A122"/>
  <c r="E122"/>
  <c r="F122"/>
  <c r="F123" s="1"/>
  <c r="G122"/>
  <c r="I122"/>
  <c r="J122"/>
  <c r="K122"/>
  <c r="L122"/>
  <c r="N122"/>
  <c r="N123" s="1"/>
  <c r="A123"/>
  <c r="D123"/>
  <c r="E123"/>
  <c r="G123"/>
  <c r="I123"/>
  <c r="J123"/>
  <c r="K123"/>
  <c r="L123"/>
  <c r="A124"/>
  <c r="A125"/>
  <c r="A126"/>
  <c r="A127"/>
  <c r="A128"/>
  <c r="A129"/>
  <c r="A130"/>
  <c r="A131"/>
  <c r="J131"/>
  <c r="K131"/>
  <c r="L131"/>
  <c r="M131"/>
  <c r="N131"/>
  <c r="A132"/>
  <c r="A133"/>
  <c r="A134"/>
  <c r="A135"/>
  <c r="A136"/>
  <c r="A137"/>
  <c r="A138"/>
  <c r="A139"/>
  <c r="D139"/>
  <c r="D142" s="1"/>
  <c r="A140"/>
  <c r="E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G159"/>
  <c r="A160"/>
  <c r="A161"/>
  <c r="A162"/>
  <c r="A163"/>
  <c r="A164"/>
  <c r="A165"/>
  <c r="A166"/>
  <c r="A167"/>
  <c r="A168"/>
  <c r="A169"/>
  <c r="A170"/>
  <c r="A171"/>
  <c r="E171"/>
  <c r="A172"/>
  <c r="A173"/>
  <c r="D173"/>
  <c r="E169" s="1"/>
  <c r="A174"/>
  <c r="G174"/>
  <c r="A175"/>
  <c r="A176"/>
  <c r="A177"/>
  <c r="A178"/>
  <c r="A179"/>
  <c r="A180"/>
  <c r="B180"/>
  <c r="A181"/>
  <c r="A182"/>
  <c r="A183"/>
  <c r="A184"/>
  <c r="A185"/>
  <c r="A186"/>
  <c r="A187"/>
  <c r="A188"/>
  <c r="A189"/>
  <c r="A190"/>
  <c r="A191"/>
  <c r="A192"/>
  <c r="A193"/>
  <c r="A194"/>
  <c r="A195"/>
  <c r="A196"/>
  <c r="D196"/>
  <c r="A197"/>
  <c r="D197"/>
  <c r="A198"/>
  <c r="A199"/>
  <c r="A200"/>
  <c r="D200"/>
  <c r="A201"/>
  <c r="A202"/>
  <c r="A203"/>
  <c r="A204"/>
  <c r="A205"/>
  <c r="A206"/>
  <c r="A207"/>
  <c r="A208"/>
  <c r="D208"/>
  <c r="E208" s="1"/>
  <c r="F208" s="1"/>
  <c r="G208" s="1"/>
  <c r="H208" s="1"/>
  <c r="I208" s="1"/>
  <c r="J208" s="1"/>
  <c r="K208" s="1"/>
  <c r="L208" s="1"/>
  <c r="M208" s="1"/>
  <c r="N208" s="1"/>
  <c r="A209"/>
  <c r="D209"/>
  <c r="A210"/>
  <c r="A211"/>
  <c r="A212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4"/>
  <c r="A265"/>
  <c r="A266"/>
  <c r="F266"/>
  <c r="A267"/>
  <c r="F267"/>
  <c r="A268"/>
  <c r="F268"/>
  <c r="A269"/>
  <c r="A270"/>
  <c r="A271"/>
  <c r="A272"/>
  <c r="A273"/>
  <c r="A274"/>
  <c r="A275"/>
  <c r="D275"/>
  <c r="A276"/>
  <c r="D276"/>
  <c r="A277"/>
  <c r="D277"/>
  <c r="A278"/>
  <c r="D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G167"/>
  <c r="D127"/>
  <c r="D158" s="1"/>
  <c r="E73"/>
  <c r="F74" s="1"/>
  <c r="E135"/>
  <c r="G65"/>
  <c r="E183" i="2"/>
  <c r="E278"/>
  <c r="E65" i="3"/>
  <c r="G65"/>
  <c r="F85" i="2"/>
  <c r="H65" i="3"/>
  <c r="F65"/>
  <c r="F185" s="1"/>
  <c r="F194" s="1"/>
  <c r="F142" s="1"/>
  <c r="E64"/>
  <c r="E68"/>
  <c r="F64" s="1"/>
  <c r="F68" s="1"/>
  <c r="H185"/>
  <c r="H194" s="1"/>
  <c r="H142" s="1"/>
  <c r="G85" i="2"/>
  <c r="G244" s="1"/>
  <c r="G185" i="3"/>
  <c r="G194" s="1"/>
  <c r="G142" s="1"/>
  <c r="E178" i="2"/>
  <c r="E143" s="1"/>
  <c r="E327"/>
  <c r="E84" i="1"/>
  <c r="F82" s="1"/>
  <c r="D206"/>
  <c r="E203" i="3"/>
  <c r="E66"/>
  <c r="F66" s="1"/>
  <c r="G66" s="1"/>
  <c r="H66" s="1"/>
  <c r="E185"/>
  <c r="E194" s="1"/>
  <c r="E142" s="1"/>
  <c r="G182" i="1"/>
  <c r="G191" s="1"/>
  <c r="G141" s="1"/>
  <c r="E323" i="2"/>
  <c r="E217" i="3"/>
  <c r="E197" i="1"/>
  <c r="H85" i="2"/>
  <c r="I244" s="1"/>
  <c r="H244"/>
  <c r="H268" s="1"/>
  <c r="H269" s="1"/>
  <c r="O60"/>
  <c r="O56"/>
  <c r="O80"/>
  <c r="O96"/>
  <c r="O128"/>
  <c r="O160"/>
  <c r="O176"/>
  <c r="O30"/>
  <c r="P44" i="3"/>
  <c r="P142"/>
  <c r="P70"/>
  <c r="P79"/>
  <c r="P164"/>
  <c r="P46"/>
  <c r="P43"/>
  <c r="O73" i="2"/>
  <c r="O57"/>
  <c r="O77"/>
  <c r="O93"/>
  <c r="O189"/>
  <c r="P147" i="3"/>
  <c r="P156"/>
  <c r="P152"/>
  <c r="O54" i="2"/>
  <c r="O74"/>
  <c r="O138"/>
  <c r="O170"/>
  <c r="O186"/>
  <c r="O202"/>
  <c r="O220"/>
  <c r="P110" i="3"/>
  <c r="P211"/>
  <c r="P133"/>
  <c r="P71"/>
  <c r="P165"/>
  <c r="P126"/>
  <c r="P50"/>
  <c r="P68"/>
  <c r="P162"/>
  <c r="O51" i="2"/>
  <c r="O67"/>
  <c r="O87"/>
  <c r="O151"/>
  <c r="O199"/>
  <c r="P89" i="3"/>
  <c r="P94"/>
  <c r="P183"/>
  <c r="P170"/>
  <c r="P117"/>
  <c r="P195"/>
  <c r="P134"/>
  <c r="P93"/>
  <c r="P171"/>
  <c r="P131"/>
  <c r="P62"/>
  <c r="P60"/>
  <c r="P109"/>
  <c r="P104"/>
  <c r="P49"/>
  <c r="P59"/>
  <c r="P42"/>
  <c r="O52" i="2"/>
  <c r="O76"/>
  <c r="O92"/>
  <c r="O108"/>
  <c r="O172"/>
  <c r="O222"/>
  <c r="P169" i="3"/>
  <c r="P121"/>
  <c r="P45"/>
  <c r="P124"/>
  <c r="P146"/>
  <c r="P86"/>
  <c r="P115"/>
  <c r="O53" i="2"/>
  <c r="O69"/>
  <c r="O121"/>
  <c r="O137"/>
  <c r="O169"/>
  <c r="O185"/>
  <c r="O201"/>
  <c r="P48" i="3"/>
  <c r="P128"/>
  <c r="O50" i="2"/>
  <c r="O66"/>
  <c r="O86"/>
  <c r="O118"/>
  <c r="O134"/>
  <c r="O166"/>
  <c r="P74" i="3"/>
  <c r="P88"/>
  <c r="P179"/>
  <c r="P158"/>
  <c r="P111"/>
  <c r="P81"/>
  <c r="P143"/>
  <c r="O47" i="2"/>
  <c r="O83"/>
  <c r="O99"/>
  <c r="O115"/>
  <c r="O147"/>
  <c r="O179"/>
  <c r="O213"/>
  <c r="P56" i="3"/>
  <c r="P67"/>
  <c r="P157"/>
  <c r="P107"/>
  <c r="P95"/>
  <c r="P184"/>
  <c r="P92"/>
  <c r="P66"/>
  <c r="P161"/>
  <c r="P87"/>
  <c r="O211" i="2"/>
  <c r="P41" i="3"/>
  <c r="P173"/>
  <c r="P203"/>
  <c r="O48" i="2"/>
  <c r="O68"/>
  <c r="O88"/>
  <c r="O152"/>
  <c r="O168"/>
  <c r="O184"/>
  <c r="O200"/>
  <c r="P187" i="3"/>
  <c r="P174"/>
  <c r="P123"/>
  <c r="P145"/>
  <c r="P102"/>
  <c r="P205"/>
  <c r="P141"/>
  <c r="O49" i="2"/>
  <c r="O65"/>
  <c r="O85"/>
  <c r="O101"/>
  <c r="O117"/>
  <c r="O133"/>
  <c r="P112" i="3"/>
  <c r="P140"/>
  <c r="O46" i="2"/>
  <c r="O98"/>
  <c r="O130"/>
  <c r="O162"/>
  <c r="P52" i="3"/>
  <c r="P57"/>
  <c r="P153"/>
  <c r="P90"/>
  <c r="P91"/>
  <c r="P180"/>
  <c r="P80"/>
  <c r="P54"/>
  <c r="P76"/>
  <c r="O71" i="2"/>
  <c r="O59"/>
  <c r="O79"/>
  <c r="O95"/>
  <c r="O127"/>
  <c r="O159"/>
  <c r="O191"/>
  <c r="O44"/>
  <c r="P136" i="3"/>
  <c r="P65"/>
  <c r="P160"/>
  <c r="P72"/>
  <c r="P213"/>
  <c r="P127"/>
  <c r="P139"/>
  <c r="P155"/>
  <c r="P197"/>
  <c r="P55"/>
  <c r="P69"/>
  <c r="P167"/>
  <c r="P196"/>
  <c r="P185"/>
  <c r="O70" i="2"/>
  <c r="O100"/>
  <c r="O116"/>
  <c r="O132"/>
  <c r="O148"/>
  <c r="O164"/>
  <c r="P64" i="3"/>
  <c r="P77"/>
  <c r="P163"/>
  <c r="P122"/>
  <c r="P188"/>
  <c r="P101"/>
  <c r="P47"/>
  <c r="P82"/>
  <c r="P177"/>
  <c r="O45" i="2"/>
  <c r="O61"/>
  <c r="O81"/>
  <c r="O97"/>
  <c r="O113"/>
  <c r="O129"/>
  <c r="O145"/>
  <c r="O161"/>
  <c r="O177"/>
  <c r="P53" i="3"/>
  <c r="P159"/>
  <c r="O72" i="2"/>
  <c r="O58"/>
  <c r="O78"/>
  <c r="O94"/>
  <c r="O110"/>
  <c r="O158"/>
  <c r="O190"/>
  <c r="P132" i="3"/>
  <c r="P61"/>
  <c r="P58"/>
  <c r="P154"/>
  <c r="P63"/>
  <c r="P166"/>
  <c r="P172"/>
  <c r="O55" i="2"/>
  <c r="O75"/>
  <c r="O107"/>
  <c r="O123"/>
  <c r="O139"/>
  <c r="O203"/>
  <c r="P194" i="3"/>
  <c r="P137"/>
  <c r="P135"/>
  <c r="P178"/>
  <c r="P51"/>
  <c r="O140" i="2"/>
  <c r="O141"/>
  <c r="O167"/>
  <c r="O153"/>
  <c r="O63"/>
  <c r="O165"/>
  <c r="O62"/>
  <c r="O178"/>
  <c r="O143"/>
  <c r="O175"/>
  <c r="O64"/>
  <c r="O180"/>
  <c r="O171"/>
  <c r="O173"/>
  <c r="O183"/>
  <c r="O163"/>
  <c r="O194"/>
  <c r="O193"/>
  <c r="O142"/>
  <c r="O112"/>
  <c r="O144"/>
  <c r="O208"/>
  <c r="O125"/>
  <c r="O157"/>
  <c r="O106"/>
  <c r="O103"/>
  <c r="O135"/>
  <c r="O223"/>
  <c r="O124"/>
  <c r="O156"/>
  <c r="O188"/>
  <c r="O89"/>
  <c r="O150"/>
  <c r="O182"/>
  <c r="O216"/>
  <c r="O221"/>
  <c r="O120"/>
  <c r="O218"/>
  <c r="O149"/>
  <c r="O181"/>
  <c r="O219"/>
  <c r="O196"/>
  <c r="O174"/>
  <c r="O206"/>
  <c r="O192"/>
  <c r="O109"/>
  <c r="O205"/>
  <c r="O90"/>
  <c r="O122"/>
  <c r="O154"/>
  <c r="O119"/>
  <c r="O217"/>
  <c r="O204"/>
  <c r="O105"/>
  <c r="O102"/>
  <c r="O198"/>
  <c r="O131"/>
  <c r="O195"/>
  <c r="O104"/>
  <c r="O136"/>
  <c r="O197"/>
  <c r="O82"/>
  <c r="O114"/>
  <c r="O146"/>
  <c r="O212"/>
  <c r="O111"/>
  <c r="O207"/>
  <c r="O84"/>
  <c r="O214"/>
  <c r="O215"/>
  <c r="O224"/>
  <c r="O91"/>
  <c r="O155"/>
  <c r="O126"/>
  <c r="O187"/>
  <c r="P103" i="3"/>
  <c r="P130"/>
  <c r="P176"/>
  <c r="P138"/>
  <c r="P215"/>
  <c r="P83"/>
  <c r="P85"/>
  <c r="P191"/>
  <c r="P206"/>
  <c r="P200"/>
  <c r="P113"/>
  <c r="P116"/>
  <c r="P99"/>
  <c r="P75"/>
  <c r="P98"/>
  <c r="P208"/>
  <c r="P212"/>
  <c r="P168"/>
  <c r="P151"/>
  <c r="P209"/>
  <c r="P118"/>
  <c r="P149"/>
  <c r="P129"/>
  <c r="P100"/>
  <c r="P97"/>
  <c r="P114"/>
  <c r="P198"/>
  <c r="P150"/>
  <c r="P190"/>
  <c r="P192"/>
  <c r="P199"/>
  <c r="P96"/>
  <c r="P210"/>
  <c r="P201"/>
  <c r="P144"/>
  <c r="P189"/>
  <c r="P186"/>
  <c r="P106"/>
  <c r="P148"/>
  <c r="P125"/>
  <c r="P120"/>
  <c r="P78"/>
  <c r="P181"/>
  <c r="P84"/>
  <c r="P105"/>
  <c r="P204"/>
  <c r="P73"/>
  <c r="P214"/>
  <c r="P182"/>
  <c r="P207"/>
  <c r="P119"/>
  <c r="P202"/>
  <c r="P108"/>
  <c r="P193"/>
  <c r="G209" i="2" l="1"/>
  <c r="F211"/>
  <c r="F225"/>
  <c r="G156" i="1"/>
  <c r="G131" s="1"/>
  <c r="I156"/>
  <c r="I131" s="1"/>
  <c r="H156"/>
  <c r="H131" s="1"/>
  <c r="E154"/>
  <c r="F156"/>
  <c r="F131" s="1"/>
  <c r="E156"/>
  <c r="E131" s="1"/>
  <c r="F86"/>
  <c r="E180"/>
  <c r="F81" i="2"/>
  <c r="F242"/>
  <c r="F273" s="1"/>
  <c r="G54"/>
  <c r="I307"/>
  <c r="I268"/>
  <c r="I269" s="1"/>
  <c r="I167" i="1"/>
  <c r="I174"/>
  <c r="F174"/>
  <c r="F167"/>
  <c r="F72"/>
  <c r="F73" s="1"/>
  <c r="G74" s="1"/>
  <c r="G51"/>
  <c r="E67" i="2"/>
  <c r="F55"/>
  <c r="E243"/>
  <c r="F75" i="1"/>
  <c r="E180" i="2"/>
  <c r="E325" s="1"/>
  <c r="E75" i="1"/>
  <c r="F244" i="2"/>
  <c r="F268" s="1"/>
  <c r="F269" s="1"/>
  <c r="G96"/>
  <c r="H96" s="1"/>
  <c r="D128" i="3"/>
  <c r="H251"/>
  <c r="F251"/>
  <c r="E52"/>
  <c r="E92" i="2"/>
  <c r="E177" i="3"/>
  <c r="E297" s="1"/>
  <c r="F56"/>
  <c r="G56" s="1"/>
  <c r="H56" s="1"/>
  <c r="F90"/>
  <c r="G90" s="1"/>
  <c r="H90" s="1"/>
  <c r="I90" s="1"/>
  <c r="I251"/>
  <c r="G251"/>
  <c r="E251"/>
  <c r="D90" i="2"/>
  <c r="E81"/>
  <c r="E82" s="1"/>
  <c r="F51" i="3"/>
  <c r="D160"/>
  <c r="D209"/>
  <c r="D134" i="2"/>
  <c r="D166" s="1"/>
  <c r="E143" i="3"/>
  <c r="E213"/>
  <c r="F213" s="1"/>
  <c r="G213" s="1"/>
  <c r="H213" s="1"/>
  <c r="G64"/>
  <c r="G68" s="1"/>
  <c r="F203"/>
  <c r="F78" i="1"/>
  <c r="F83"/>
  <c r="I56"/>
  <c r="J56" s="1"/>
  <c r="K56" s="1"/>
  <c r="L56" s="1"/>
  <c r="M56" s="1"/>
  <c r="H57"/>
  <c r="D105" i="2"/>
  <c r="D91"/>
  <c r="D122"/>
  <c r="D125" s="1"/>
  <c r="D126" s="1"/>
  <c r="M185" i="3"/>
  <c r="N65"/>
  <c r="I56"/>
  <c r="J56" s="1"/>
  <c r="K56" s="1"/>
  <c r="L56" s="1"/>
  <c r="M56" s="1"/>
  <c r="N56" s="1"/>
  <c r="H57"/>
  <c r="F79"/>
  <c r="E84"/>
  <c r="E235"/>
  <c r="E88" i="2"/>
  <c r="D206"/>
  <c r="G55"/>
  <c r="F243"/>
  <c r="F266" s="1"/>
  <c r="F267" s="1"/>
  <c r="F56"/>
  <c r="F233" i="3"/>
  <c r="F246" s="1"/>
  <c r="F72"/>
  <c r="G51"/>
  <c r="F74"/>
  <c r="E75"/>
  <c r="J278" i="2"/>
  <c r="J251" i="3"/>
  <c r="G79" i="1"/>
  <c r="F84"/>
  <c r="E167"/>
  <c r="E174"/>
  <c r="E170" s="1"/>
  <c r="J174"/>
  <c r="J167"/>
  <c r="H174"/>
  <c r="H167"/>
  <c r="E53"/>
  <c r="F52"/>
  <c r="L24"/>
  <c r="K59"/>
  <c r="K60" s="1"/>
  <c r="K159" s="1"/>
  <c r="H60" i="2"/>
  <c r="H76" s="1"/>
  <c r="E189"/>
  <c r="E264" s="1"/>
  <c r="F92"/>
  <c r="E183" i="3"/>
  <c r="E237" s="1"/>
  <c r="F86"/>
  <c r="E234"/>
  <c r="E53"/>
  <c r="F52"/>
  <c r="F65" i="1"/>
  <c r="E64"/>
  <c r="H74" i="2"/>
  <c r="G74"/>
  <c r="F74"/>
  <c r="E74"/>
  <c r="E77" s="1"/>
  <c r="E172" i="3"/>
  <c r="E83" i="2"/>
  <c r="E84" s="1"/>
  <c r="E89" s="1"/>
  <c r="D75" i="1"/>
  <c r="D83" s="1"/>
  <c r="E65"/>
  <c r="H169" i="3"/>
  <c r="F169"/>
  <c r="D84"/>
  <c r="D75"/>
  <c r="D83" s="1"/>
  <c r="E56" i="2"/>
  <c r="H209" l="1"/>
  <c r="G211"/>
  <c r="G225"/>
  <c r="F83"/>
  <c r="E90"/>
  <c r="G72" i="1"/>
  <c r="G73" s="1"/>
  <c r="H51"/>
  <c r="G81" i="2"/>
  <c r="H54"/>
  <c r="G242"/>
  <c r="G273" s="1"/>
  <c r="F82"/>
  <c r="F84" s="1"/>
  <c r="F89" s="1"/>
  <c r="F180" i="1"/>
  <c r="G86"/>
  <c r="E83"/>
  <c r="E78"/>
  <c r="E158"/>
  <c r="F154" s="1"/>
  <c r="E155"/>
  <c r="D217" i="2"/>
  <c r="G268"/>
  <c r="G269" s="1"/>
  <c r="J269" s="1"/>
  <c r="G158" i="3"/>
  <c r="G132" s="1"/>
  <c r="E158"/>
  <c r="E132" s="1"/>
  <c r="I158"/>
  <c r="I132" s="1"/>
  <c r="H158"/>
  <c r="H132" s="1"/>
  <c r="E156"/>
  <c r="F158"/>
  <c r="F132" s="1"/>
  <c r="F164" i="2"/>
  <c r="F138" s="1"/>
  <c r="E162"/>
  <c r="G164"/>
  <c r="G138" s="1"/>
  <c r="H164"/>
  <c r="H138" s="1"/>
  <c r="E164"/>
  <c r="E138" s="1"/>
  <c r="F67"/>
  <c r="F77" s="1"/>
  <c r="E66" i="1"/>
  <c r="E182"/>
  <c r="E191" s="1"/>
  <c r="E141" s="1"/>
  <c r="E97" i="2"/>
  <c r="E102"/>
  <c r="E109" s="1"/>
  <c r="E111" s="1"/>
  <c r="E119" s="1"/>
  <c r="E120" s="1"/>
  <c r="E101"/>
  <c r="E103" s="1"/>
  <c r="E95"/>
  <c r="E98" s="1"/>
  <c r="E186"/>
  <c r="E82" i="3"/>
  <c r="D200"/>
  <c r="D85" i="1"/>
  <c r="D98"/>
  <c r="D105" s="1"/>
  <c r="D107" s="1"/>
  <c r="D99"/>
  <c r="D115"/>
  <c r="D118" s="1"/>
  <c r="D119" s="1"/>
  <c r="E137" i="3"/>
  <c r="E293"/>
  <c r="E174"/>
  <c r="E295" s="1"/>
  <c r="F191" i="2"/>
  <c r="F200" s="1"/>
  <c r="F148" s="1"/>
  <c r="H191"/>
  <c r="H200" s="1"/>
  <c r="H148" s="1"/>
  <c r="F66" i="1"/>
  <c r="G66" s="1"/>
  <c r="H66" s="1"/>
  <c r="F182"/>
  <c r="F191" s="1"/>
  <c r="F141" s="1"/>
  <c r="E180" i="3"/>
  <c r="E95"/>
  <c r="E97" s="1"/>
  <c r="E89"/>
  <c r="E96"/>
  <c r="E103" s="1"/>
  <c r="E105" s="1"/>
  <c r="E113" s="1"/>
  <c r="E114" s="1"/>
  <c r="E91"/>
  <c r="F183"/>
  <c r="F237" s="1"/>
  <c r="F247" s="1"/>
  <c r="F248" s="1"/>
  <c r="G86"/>
  <c r="F189" i="2"/>
  <c r="F264" s="1"/>
  <c r="F274" s="1"/>
  <c r="F275" s="1"/>
  <c r="G92"/>
  <c r="H129"/>
  <c r="K167" i="1"/>
  <c r="K174"/>
  <c r="G52"/>
  <c r="F53"/>
  <c r="E136"/>
  <c r="E172"/>
  <c r="G82"/>
  <c r="F197"/>
  <c r="J24" i="3"/>
  <c r="J59" s="1"/>
  <c r="N24"/>
  <c r="M24"/>
  <c r="K24"/>
  <c r="L24"/>
  <c r="N25" i="2"/>
  <c r="M25"/>
  <c r="J25"/>
  <c r="J61" s="1"/>
  <c r="L25"/>
  <c r="K25"/>
  <c r="F73" i="3"/>
  <c r="G74" s="1"/>
  <c r="F95" i="2"/>
  <c r="F102"/>
  <c r="F109" s="1"/>
  <c r="F101"/>
  <c r="F103" s="1"/>
  <c r="F97"/>
  <c r="F186"/>
  <c r="H55"/>
  <c r="G56"/>
  <c r="G243"/>
  <c r="G266" s="1"/>
  <c r="G267" s="1"/>
  <c r="E200" i="3"/>
  <c r="F82"/>
  <c r="H67"/>
  <c r="I65" s="1"/>
  <c r="H123"/>
  <c r="N185"/>
  <c r="D135" i="2"/>
  <c r="D131"/>
  <c r="D112"/>
  <c r="D114" s="1"/>
  <c r="D106"/>
  <c r="M57" i="1"/>
  <c r="N56"/>
  <c r="F97"/>
  <c r="F98"/>
  <c r="F105" s="1"/>
  <c r="F85"/>
  <c r="F178" s="1"/>
  <c r="F217" i="3"/>
  <c r="E91" i="2"/>
  <c r="E187" s="1"/>
  <c r="E249" s="1"/>
  <c r="D99" i="3"/>
  <c r="D106" s="1"/>
  <c r="D108" s="1"/>
  <c r="D116"/>
  <c r="D119" s="1"/>
  <c r="D120" s="1"/>
  <c r="E105" i="2"/>
  <c r="E112" s="1"/>
  <c r="E104"/>
  <c r="E75"/>
  <c r="F75" s="1"/>
  <c r="G75" s="1"/>
  <c r="H75" s="1"/>
  <c r="E191"/>
  <c r="E200" s="1"/>
  <c r="E148" s="1"/>
  <c r="G191"/>
  <c r="G200" s="1"/>
  <c r="G148" s="1"/>
  <c r="F53" i="3"/>
  <c r="G52"/>
  <c r="F234"/>
  <c r="F239" s="1"/>
  <c r="F240" s="1"/>
  <c r="L59" i="1"/>
  <c r="L60" s="1"/>
  <c r="L159" s="1"/>
  <c r="M24"/>
  <c r="E90"/>
  <c r="E95"/>
  <c r="E102" s="1"/>
  <c r="E104" s="1"/>
  <c r="E112" s="1"/>
  <c r="E113" s="1"/>
  <c r="E94"/>
  <c r="E96" s="1"/>
  <c r="E88"/>
  <c r="E177"/>
  <c r="H79"/>
  <c r="G84"/>
  <c r="E78" i="3"/>
  <c r="E83"/>
  <c r="G72"/>
  <c r="H51"/>
  <c r="G233"/>
  <c r="G246" s="1"/>
  <c r="E255" i="2"/>
  <c r="F84" i="3"/>
  <c r="G79"/>
  <c r="F235"/>
  <c r="F241" s="1"/>
  <c r="F242" s="1"/>
  <c r="M337"/>
  <c r="M194"/>
  <c r="M142" s="1"/>
  <c r="H67" i="1"/>
  <c r="I65" s="1"/>
  <c r="H122"/>
  <c r="H123" s="1"/>
  <c r="H64" i="3"/>
  <c r="H68" s="1"/>
  <c r="G203"/>
  <c r="E68" i="1"/>
  <c r="D85" i="3"/>
  <c r="I209" i="2" l="1"/>
  <c r="H211"/>
  <c r="H225"/>
  <c r="L301"/>
  <c r="K20"/>
  <c r="K45" s="1"/>
  <c r="J20"/>
  <c r="J45" s="1"/>
  <c r="J85" s="1"/>
  <c r="N20"/>
  <c r="N45" s="1"/>
  <c r="N301"/>
  <c r="K301"/>
  <c r="M20"/>
  <c r="M45" s="1"/>
  <c r="L20"/>
  <c r="L45" s="1"/>
  <c r="J301"/>
  <c r="J307" s="1"/>
  <c r="M301"/>
  <c r="F105"/>
  <c r="F112" s="1"/>
  <c r="F104"/>
  <c r="F155" i="1"/>
  <c r="F158"/>
  <c r="G154" s="1"/>
  <c r="E98"/>
  <c r="E105" s="1"/>
  <c r="E85"/>
  <c r="E178" s="1"/>
  <c r="E97"/>
  <c r="E99" s="1"/>
  <c r="G180"/>
  <c r="H86"/>
  <c r="G82" i="2"/>
  <c r="G75" i="1"/>
  <c r="H74"/>
  <c r="E106" i="2"/>
  <c r="F98"/>
  <c r="E157" i="1"/>
  <c r="E132"/>
  <c r="G83" i="2"/>
  <c r="F90"/>
  <c r="H81"/>
  <c r="H242"/>
  <c r="H273" s="1"/>
  <c r="I51" i="1"/>
  <c r="H72"/>
  <c r="E206" i="2"/>
  <c r="F88"/>
  <c r="F91" s="1"/>
  <c r="F187" s="1"/>
  <c r="F249" s="1"/>
  <c r="E179" i="1"/>
  <c r="E157" i="3"/>
  <c r="E160"/>
  <c r="F156" s="1"/>
  <c r="E166" i="2"/>
  <c r="F162" s="1"/>
  <c r="E163"/>
  <c r="F200" i="3"/>
  <c r="G82"/>
  <c r="G217"/>
  <c r="I182" i="1"/>
  <c r="I191" s="1"/>
  <c r="I141" s="1"/>
  <c r="J65"/>
  <c r="I66"/>
  <c r="M346" i="3"/>
  <c r="M436"/>
  <c r="H79"/>
  <c r="G235"/>
  <c r="G241" s="1"/>
  <c r="G242" s="1"/>
  <c r="G73"/>
  <c r="H74" s="1"/>
  <c r="I79" i="1"/>
  <c r="M59"/>
  <c r="M60" s="1"/>
  <c r="M159" s="1"/>
  <c r="N24"/>
  <c r="N59" s="1"/>
  <c r="N60" s="1"/>
  <c r="N159" s="1"/>
  <c r="F95" i="3"/>
  <c r="F97" s="1"/>
  <c r="F180"/>
  <c r="F89"/>
  <c r="F96"/>
  <c r="F103" s="1"/>
  <c r="F91"/>
  <c r="M67" i="1"/>
  <c r="M122"/>
  <c r="M123" s="1"/>
  <c r="R123" i="3"/>
  <c r="Q123"/>
  <c r="H124"/>
  <c r="H243" i="2"/>
  <c r="H266" s="1"/>
  <c r="H267" s="1"/>
  <c r="H56"/>
  <c r="F88" i="1"/>
  <c r="F95"/>
  <c r="F102" s="1"/>
  <c r="F177"/>
  <c r="F179" s="1"/>
  <c r="F94"/>
  <c r="F96" s="1"/>
  <c r="F90"/>
  <c r="P129" i="2"/>
  <c r="H130"/>
  <c r="E199" i="3"/>
  <c r="F104"/>
  <c r="F105" s="1"/>
  <c r="F113" s="1"/>
  <c r="F114" s="1"/>
  <c r="D124" i="1"/>
  <c r="D128"/>
  <c r="E188" i="2"/>
  <c r="E248"/>
  <c r="F110"/>
  <c r="F111" s="1"/>
  <c r="F119" s="1"/>
  <c r="F120" s="1"/>
  <c r="E205"/>
  <c r="E252" s="1"/>
  <c r="E253" s="1"/>
  <c r="G67"/>
  <c r="G77" s="1"/>
  <c r="E91" i="1"/>
  <c r="D100" i="3"/>
  <c r="F99" i="1"/>
  <c r="F75" i="3"/>
  <c r="F64" i="1"/>
  <c r="F68" s="1"/>
  <c r="E200"/>
  <c r="I64" i="3"/>
  <c r="I68" s="1"/>
  <c r="H203"/>
  <c r="H72"/>
  <c r="I51"/>
  <c r="H233"/>
  <c r="H246" s="1"/>
  <c r="E99"/>
  <c r="E106" s="1"/>
  <c r="E98"/>
  <c r="G197" i="1"/>
  <c r="H82"/>
  <c r="F103"/>
  <c r="F104" s="1"/>
  <c r="F112" s="1"/>
  <c r="F113" s="1"/>
  <c r="E196"/>
  <c r="L167"/>
  <c r="L174"/>
  <c r="G53" i="3"/>
  <c r="H52"/>
  <c r="G234"/>
  <c r="G239" s="1"/>
  <c r="G240" s="1"/>
  <c r="E149" i="2"/>
  <c r="E222"/>
  <c r="F222" s="1"/>
  <c r="G222" s="1"/>
  <c r="H222" s="1"/>
  <c r="E214"/>
  <c r="F113"/>
  <c r="F114" s="1"/>
  <c r="F122" s="1"/>
  <c r="D129" i="3"/>
  <c r="D125"/>
  <c r="D214" i="2"/>
  <c r="E113"/>
  <c r="E114" s="1"/>
  <c r="E122" s="1"/>
  <c r="E140"/>
  <c r="D154"/>
  <c r="D144"/>
  <c r="D174"/>
  <c r="D215"/>
  <c r="N194" i="3"/>
  <c r="N142" s="1"/>
  <c r="N337"/>
  <c r="J65"/>
  <c r="I185"/>
  <c r="I194" s="1"/>
  <c r="I142" s="1"/>
  <c r="I213" s="1"/>
  <c r="I66"/>
  <c r="E258"/>
  <c r="G101" i="2"/>
  <c r="G103" s="1"/>
  <c r="G186"/>
  <c r="G102"/>
  <c r="G109" s="1"/>
  <c r="G97"/>
  <c r="G95"/>
  <c r="F248"/>
  <c r="F247" s="1"/>
  <c r="F270"/>
  <c r="F271" s="1"/>
  <c r="F188"/>
  <c r="G110"/>
  <c r="G111" s="1"/>
  <c r="G119" s="1"/>
  <c r="G120" s="1"/>
  <c r="F205"/>
  <c r="F252" s="1"/>
  <c r="F253" s="1"/>
  <c r="F190"/>
  <c r="F265" s="1"/>
  <c r="F123"/>
  <c r="G53" i="1"/>
  <c r="H52"/>
  <c r="G189" i="2"/>
  <c r="G264" s="1"/>
  <c r="G274" s="1"/>
  <c r="G275" s="1"/>
  <c r="H92"/>
  <c r="G183" i="3"/>
  <c r="G237" s="1"/>
  <c r="G247" s="1"/>
  <c r="G248" s="1"/>
  <c r="H86"/>
  <c r="E236"/>
  <c r="D203" i="1"/>
  <c r="E106"/>
  <c r="E107" s="1"/>
  <c r="E115" s="1"/>
  <c r="E190" i="2"/>
  <c r="E265" s="1"/>
  <c r="E123"/>
  <c r="E142" i="1"/>
  <c r="E210"/>
  <c r="F210" s="1"/>
  <c r="G210" s="1"/>
  <c r="H210" s="1"/>
  <c r="I210" s="1"/>
  <c r="E226" i="2"/>
  <c r="E92" i="3"/>
  <c r="E85"/>
  <c r="E181" s="1"/>
  <c r="E182" s="1"/>
  <c r="J209" i="2" l="1"/>
  <c r="I211"/>
  <c r="J67" s="1"/>
  <c r="I225"/>
  <c r="K307"/>
  <c r="L307" s="1"/>
  <c r="M307" s="1"/>
  <c r="N307" s="1"/>
  <c r="H73" i="1"/>
  <c r="H75"/>
  <c r="H82" i="2"/>
  <c r="H84"/>
  <c r="H89" s="1"/>
  <c r="H83"/>
  <c r="G90"/>
  <c r="H180" i="1"/>
  <c r="I86"/>
  <c r="E203"/>
  <c r="F106"/>
  <c r="F107" s="1"/>
  <c r="F115" s="1"/>
  <c r="F157"/>
  <c r="F132"/>
  <c r="K85" i="2"/>
  <c r="L85" s="1"/>
  <c r="M85" s="1"/>
  <c r="N85" s="1"/>
  <c r="E250"/>
  <c r="E251" s="1"/>
  <c r="F255"/>
  <c r="E254"/>
  <c r="E256"/>
  <c r="E227"/>
  <c r="J51" i="1"/>
  <c r="I72"/>
  <c r="I242" i="2"/>
  <c r="G88"/>
  <c r="F206"/>
  <c r="G78" i="1"/>
  <c r="G83"/>
  <c r="G155"/>
  <c r="G158"/>
  <c r="H154" s="1"/>
  <c r="E100" i="3"/>
  <c r="G75"/>
  <c r="G84"/>
  <c r="G84" i="2"/>
  <c r="G89" s="1"/>
  <c r="F106"/>
  <c r="E133" i="3"/>
  <c r="E159"/>
  <c r="F157"/>
  <c r="F160"/>
  <c r="G156" s="1"/>
  <c r="F163" i="2"/>
  <c r="F166"/>
  <c r="G162" s="1"/>
  <c r="E139"/>
  <c r="E165"/>
  <c r="E245" i="3"/>
  <c r="E376"/>
  <c r="G90" i="1"/>
  <c r="G88"/>
  <c r="G94"/>
  <c r="G96" s="1"/>
  <c r="G95"/>
  <c r="G102" s="1"/>
  <c r="G177"/>
  <c r="G205" i="2"/>
  <c r="G252" s="1"/>
  <c r="H110"/>
  <c r="K65" i="3"/>
  <c r="J185"/>
  <c r="J66"/>
  <c r="D150" i="2"/>
  <c r="G180" i="3"/>
  <c r="G95"/>
  <c r="G97" s="1"/>
  <c r="G91"/>
  <c r="G89"/>
  <c r="G92" s="1"/>
  <c r="G96"/>
  <c r="G103" s="1"/>
  <c r="I72"/>
  <c r="I233"/>
  <c r="J64"/>
  <c r="J68" s="1"/>
  <c r="I203"/>
  <c r="G64" i="1"/>
  <c r="G68" s="1"/>
  <c r="F200"/>
  <c r="E116"/>
  <c r="E181"/>
  <c r="E183" s="1"/>
  <c r="F226" i="2"/>
  <c r="D166" i="1"/>
  <c r="E133"/>
  <c r="D204"/>
  <c r="D137"/>
  <c r="I243" i="2"/>
  <c r="F236" i="3"/>
  <c r="F253" s="1"/>
  <c r="F243"/>
  <c r="N174" i="1"/>
  <c r="N167"/>
  <c r="J79"/>
  <c r="I79" i="3"/>
  <c r="H235"/>
  <c r="H241" s="1"/>
  <c r="H242" s="1"/>
  <c r="F258"/>
  <c r="D205" i="1"/>
  <c r="D207" s="1"/>
  <c r="D211" s="1"/>
  <c r="F276" i="2"/>
  <c r="F277" s="1"/>
  <c r="G98"/>
  <c r="E218" i="3"/>
  <c r="D216" i="2"/>
  <c r="D218" s="1"/>
  <c r="D223" s="1"/>
  <c r="F91" i="1"/>
  <c r="E184" i="3"/>
  <c r="E238" s="1"/>
  <c r="E117"/>
  <c r="H183"/>
  <c r="H237" s="1"/>
  <c r="H247" s="1"/>
  <c r="H248" s="1"/>
  <c r="I86"/>
  <c r="H189" i="2"/>
  <c r="H264" s="1"/>
  <c r="H274" s="1"/>
  <c r="H275" s="1"/>
  <c r="K68"/>
  <c r="J74"/>
  <c r="I52" i="1"/>
  <c r="H53"/>
  <c r="F192" i="2"/>
  <c r="F406"/>
  <c r="F272"/>
  <c r="G270"/>
  <c r="G271" s="1"/>
  <c r="G248"/>
  <c r="N346" i="3"/>
  <c r="N436"/>
  <c r="E171" i="2"/>
  <c r="E172"/>
  <c r="E194"/>
  <c r="E293" s="1"/>
  <c r="D207"/>
  <c r="D294" s="1"/>
  <c r="E295" s="1"/>
  <c r="E296" s="1"/>
  <c r="D155"/>
  <c r="D156" s="1"/>
  <c r="D157" s="1"/>
  <c r="E152"/>
  <c r="E134" i="3"/>
  <c r="D207"/>
  <c r="D138"/>
  <c r="D168"/>
  <c r="D148"/>
  <c r="E257" i="2"/>
  <c r="E258" s="1"/>
  <c r="H53" i="3"/>
  <c r="I52"/>
  <c r="H234"/>
  <c r="H239" s="1"/>
  <c r="H240" s="1"/>
  <c r="E206"/>
  <c r="F107"/>
  <c r="H73"/>
  <c r="I74" s="1"/>
  <c r="H75"/>
  <c r="H217"/>
  <c r="F78"/>
  <c r="F83"/>
  <c r="G106" i="1"/>
  <c r="F203"/>
  <c r="D206" i="3"/>
  <c r="D208" s="1"/>
  <c r="D210" s="1"/>
  <c r="D214" s="1"/>
  <c r="E107"/>
  <c r="E108" s="1"/>
  <c r="E116" s="1"/>
  <c r="H67" i="2"/>
  <c r="H77" s="1"/>
  <c r="E272"/>
  <c r="E192"/>
  <c r="E406"/>
  <c r="G103" i="1"/>
  <c r="G104" s="1"/>
  <c r="G112" s="1"/>
  <c r="G113" s="1"/>
  <c r="F196"/>
  <c r="H101" i="2"/>
  <c r="H103" s="1"/>
  <c r="H186"/>
  <c r="H95"/>
  <c r="H102"/>
  <c r="H109" s="1"/>
  <c r="H97"/>
  <c r="F199" i="3"/>
  <c r="F259" s="1"/>
  <c r="G104"/>
  <c r="G105" s="1"/>
  <c r="G113" s="1"/>
  <c r="G114" s="1"/>
  <c r="M174" i="1"/>
  <c r="M167"/>
  <c r="G83" i="3"/>
  <c r="G78"/>
  <c r="G200"/>
  <c r="H82"/>
  <c r="M355"/>
  <c r="M443"/>
  <c r="J182" i="1"/>
  <c r="J191" s="1"/>
  <c r="J141" s="1"/>
  <c r="J210" s="1"/>
  <c r="K65"/>
  <c r="J66"/>
  <c r="E259" i="3"/>
  <c r="F92"/>
  <c r="G85"/>
  <c r="G181" s="1"/>
  <c r="K209" i="2" l="1"/>
  <c r="J211"/>
  <c r="J225"/>
  <c r="G113"/>
  <c r="F214"/>
  <c r="F257" s="1"/>
  <c r="H158" i="1"/>
  <c r="I154" s="1"/>
  <c r="H155"/>
  <c r="G97"/>
  <c r="G85"/>
  <c r="G178" s="1"/>
  <c r="G98"/>
  <c r="G105" s="1"/>
  <c r="F254" i="2"/>
  <c r="F250"/>
  <c r="F251" s="1"/>
  <c r="G255"/>
  <c r="F256"/>
  <c r="F227"/>
  <c r="J81"/>
  <c r="K54"/>
  <c r="J72" i="1"/>
  <c r="K51"/>
  <c r="H90" i="2"/>
  <c r="I74" i="1"/>
  <c r="H84"/>
  <c r="G107"/>
  <c r="G115" s="1"/>
  <c r="G91"/>
  <c r="G105" i="2"/>
  <c r="G112" s="1"/>
  <c r="G104"/>
  <c r="G106" s="1"/>
  <c r="G157" i="1"/>
  <c r="G132"/>
  <c r="I308" i="2"/>
  <c r="J308" s="1"/>
  <c r="K308" s="1"/>
  <c r="L308" s="1"/>
  <c r="M308" s="1"/>
  <c r="N308" s="1"/>
  <c r="I273"/>
  <c r="I73" i="1"/>
  <c r="I75"/>
  <c r="I180"/>
  <c r="J86"/>
  <c r="G206" i="2"/>
  <c r="H88"/>
  <c r="H91" s="1"/>
  <c r="H187" s="1"/>
  <c r="H249" s="1"/>
  <c r="H105"/>
  <c r="H112" s="1"/>
  <c r="H104"/>
  <c r="H106" s="1"/>
  <c r="H78" i="1"/>
  <c r="H83"/>
  <c r="G179"/>
  <c r="G91" i="2"/>
  <c r="G187" s="1"/>
  <c r="F133" i="3"/>
  <c r="F159"/>
  <c r="G157"/>
  <c r="G160"/>
  <c r="H156" s="1"/>
  <c r="F139" i="2"/>
  <c r="F165"/>
  <c r="G166"/>
  <c r="H162" s="1"/>
  <c r="G163"/>
  <c r="D204"/>
  <c r="F184" i="3"/>
  <c r="F238" s="1"/>
  <c r="F249" s="1"/>
  <c r="F250" s="1"/>
  <c r="F117"/>
  <c r="K182" i="1"/>
  <c r="K191" s="1"/>
  <c r="K141" s="1"/>
  <c r="K66"/>
  <c r="L65"/>
  <c r="H205" i="2"/>
  <c r="H252" s="1"/>
  <c r="E409"/>
  <c r="G226"/>
  <c r="F99" i="3"/>
  <c r="F106" s="1"/>
  <c r="F98"/>
  <c r="F85"/>
  <c r="F181" s="1"/>
  <c r="H78"/>
  <c r="H83"/>
  <c r="H95"/>
  <c r="H97" s="1"/>
  <c r="H180"/>
  <c r="H89"/>
  <c r="H91"/>
  <c r="H96"/>
  <c r="H103" s="1"/>
  <c r="D149"/>
  <c r="D150" s="1"/>
  <c r="D151" s="1"/>
  <c r="E188"/>
  <c r="E264" s="1"/>
  <c r="D201"/>
  <c r="D265" s="1"/>
  <c r="E266" s="1"/>
  <c r="E267" s="1"/>
  <c r="E146"/>
  <c r="D144"/>
  <c r="E153" i="2"/>
  <c r="M365" i="3"/>
  <c r="M471" s="1"/>
  <c r="M463"/>
  <c r="G258"/>
  <c r="G260"/>
  <c r="G218"/>
  <c r="G99"/>
  <c r="G106" s="1"/>
  <c r="G98"/>
  <c r="H270" i="2"/>
  <c r="H271" s="1"/>
  <c r="H188"/>
  <c r="H248"/>
  <c r="I53" i="3"/>
  <c r="I234"/>
  <c r="E166"/>
  <c r="E165"/>
  <c r="H95" i="1"/>
  <c r="H102" s="1"/>
  <c r="H90"/>
  <c r="H88"/>
  <c r="H94"/>
  <c r="H96" s="1"/>
  <c r="H177"/>
  <c r="J191" i="2"/>
  <c r="J76"/>
  <c r="I264"/>
  <c r="I274" s="1"/>
  <c r="I275" s="1"/>
  <c r="J275" s="1"/>
  <c r="I183" i="3"/>
  <c r="I237" s="1"/>
  <c r="I247" s="1"/>
  <c r="I248" s="1"/>
  <c r="J248" s="1"/>
  <c r="G190" i="2"/>
  <c r="G265" s="1"/>
  <c r="G276" s="1"/>
  <c r="G277" s="1"/>
  <c r="G123"/>
  <c r="F244" i="3"/>
  <c r="E164" i="1"/>
  <c r="E163"/>
  <c r="H64"/>
  <c r="H68" s="1"/>
  <c r="G200"/>
  <c r="K64" i="3"/>
  <c r="K68" s="1"/>
  <c r="J203"/>
  <c r="I246"/>
  <c r="J246" s="1"/>
  <c r="I279"/>
  <c r="G236"/>
  <c r="G182"/>
  <c r="G243"/>
  <c r="G244" s="1"/>
  <c r="J337"/>
  <c r="J194"/>
  <c r="J142" s="1"/>
  <c r="J213" s="1"/>
  <c r="H103" i="1"/>
  <c r="H104" s="1"/>
  <c r="H112" s="1"/>
  <c r="H113" s="1"/>
  <c r="G196"/>
  <c r="H98" i="2"/>
  <c r="F108" i="3"/>
  <c r="F116" s="1"/>
  <c r="K210" i="1"/>
  <c r="H84" i="3"/>
  <c r="H85" s="1"/>
  <c r="H181" s="1"/>
  <c r="H111" i="2"/>
  <c r="H119" s="1"/>
  <c r="H120" s="1"/>
  <c r="E186" i="3"/>
  <c r="E141" i="2"/>
  <c r="E193"/>
  <c r="E283" s="1"/>
  <c r="E173"/>
  <c r="N443" i="3"/>
  <c r="N355"/>
  <c r="F409" i="2"/>
  <c r="F410" s="1"/>
  <c r="I53" i="1"/>
  <c r="J52"/>
  <c r="L68" i="2"/>
  <c r="F116" i="1"/>
  <c r="F181"/>
  <c r="F183" s="1"/>
  <c r="I235" i="3"/>
  <c r="K79" i="1"/>
  <c r="I306" i="2"/>
  <c r="I266"/>
  <c r="I267" s="1"/>
  <c r="J267" s="1"/>
  <c r="D146" i="1"/>
  <c r="I217" i="3"/>
  <c r="I73"/>
  <c r="J74" s="1"/>
  <c r="G184"/>
  <c r="G238" s="1"/>
  <c r="G249" s="1"/>
  <c r="G250" s="1"/>
  <c r="G117"/>
  <c r="G199"/>
  <c r="G259" s="1"/>
  <c r="H104"/>
  <c r="H105" s="1"/>
  <c r="H113" s="1"/>
  <c r="H114" s="1"/>
  <c r="K66"/>
  <c r="L65"/>
  <c r="K185"/>
  <c r="G116" i="1"/>
  <c r="G181"/>
  <c r="G183" s="1"/>
  <c r="G253" i="2"/>
  <c r="L209" l="1"/>
  <c r="K211"/>
  <c r="K225"/>
  <c r="G249"/>
  <c r="G188"/>
  <c r="G250"/>
  <c r="H255"/>
  <c r="G254"/>
  <c r="G256"/>
  <c r="G227"/>
  <c r="J74" i="1"/>
  <c r="I84"/>
  <c r="J73"/>
  <c r="J75" s="1"/>
  <c r="I158"/>
  <c r="J154" s="1"/>
  <c r="I155"/>
  <c r="I75" i="3"/>
  <c r="I84"/>
  <c r="H91" i="1"/>
  <c r="G100" i="3"/>
  <c r="H92"/>
  <c r="F100"/>
  <c r="G99" i="1"/>
  <c r="G114" i="2"/>
  <c r="G122" s="1"/>
  <c r="H85" i="1"/>
  <c r="H178" s="1"/>
  <c r="H179" s="1"/>
  <c r="H183" s="1"/>
  <c r="H98"/>
  <c r="H105" s="1"/>
  <c r="H97"/>
  <c r="H99" s="1"/>
  <c r="H214" i="2"/>
  <c r="H257" s="1"/>
  <c r="K86" i="1"/>
  <c r="J180"/>
  <c r="I78"/>
  <c r="I83"/>
  <c r="H113" i="2"/>
  <c r="H114" s="1"/>
  <c r="H122" s="1"/>
  <c r="G214"/>
  <c r="G257" s="1"/>
  <c r="G258" s="1"/>
  <c r="H197" i="1"/>
  <c r="I82"/>
  <c r="I85" s="1"/>
  <c r="I178" s="1"/>
  <c r="H206" i="2"/>
  <c r="K72" i="1"/>
  <c r="L51"/>
  <c r="J83" i="2"/>
  <c r="L54"/>
  <c r="K81"/>
  <c r="H157" i="1"/>
  <c r="H132"/>
  <c r="F258" i="2"/>
  <c r="G159" i="3"/>
  <c r="G133"/>
  <c r="H160"/>
  <c r="I156" s="1"/>
  <c r="H157"/>
  <c r="H166" i="2"/>
  <c r="H163"/>
  <c r="G165"/>
  <c r="G139"/>
  <c r="J20" i="3"/>
  <c r="J43" s="1"/>
  <c r="J86" s="1"/>
  <c r="L20"/>
  <c r="L43" s="1"/>
  <c r="N20"/>
  <c r="N43" s="1"/>
  <c r="K20"/>
  <c r="K43" s="1"/>
  <c r="M20"/>
  <c r="M43" s="1"/>
  <c r="N21" i="2"/>
  <c r="N46" s="1"/>
  <c r="K21"/>
  <c r="K46" s="1"/>
  <c r="M21"/>
  <c r="M46" s="1"/>
  <c r="L21"/>
  <c r="L46" s="1"/>
  <c r="J21"/>
  <c r="J46" s="1"/>
  <c r="I83" i="3"/>
  <c r="I78"/>
  <c r="K19" i="2"/>
  <c r="K44" s="1"/>
  <c r="M19"/>
  <c r="M44" s="1"/>
  <c r="L19"/>
  <c r="L44" s="1"/>
  <c r="N19"/>
  <c r="N44" s="1"/>
  <c r="K300"/>
  <c r="J300"/>
  <c r="J306" s="1"/>
  <c r="N300"/>
  <c r="J19"/>
  <c r="J44" s="1"/>
  <c r="M300"/>
  <c r="L300"/>
  <c r="L79" i="1"/>
  <c r="I200" i="3"/>
  <c r="J82"/>
  <c r="K52" i="1"/>
  <c r="J53"/>
  <c r="K337" i="3"/>
  <c r="K194"/>
  <c r="K142" s="1"/>
  <c r="D147" i="1"/>
  <c r="D148" s="1"/>
  <c r="D149" s="1"/>
  <c r="E185"/>
  <c r="E144"/>
  <c r="D198"/>
  <c r="I278" i="3"/>
  <c r="I241"/>
  <c r="I242" s="1"/>
  <c r="J242" s="1"/>
  <c r="I94" i="1"/>
  <c r="I96" s="1"/>
  <c r="I88"/>
  <c r="I177"/>
  <c r="I179" s="1"/>
  <c r="I90"/>
  <c r="I95"/>
  <c r="I102" s="1"/>
  <c r="H190" i="2"/>
  <c r="H265" s="1"/>
  <c r="H276" s="1"/>
  <c r="H277" s="1"/>
  <c r="H123"/>
  <c r="L23" i="3"/>
  <c r="L48" s="1"/>
  <c r="N23"/>
  <c r="N48" s="1"/>
  <c r="K23"/>
  <c r="K48" s="1"/>
  <c r="M23"/>
  <c r="M48" s="1"/>
  <c r="J23"/>
  <c r="J48" s="1"/>
  <c r="J51" s="1"/>
  <c r="K203"/>
  <c r="L64"/>
  <c r="L68" s="1"/>
  <c r="I64" i="1"/>
  <c r="I68" s="1"/>
  <c r="H200"/>
  <c r="E134"/>
  <c r="E165"/>
  <c r="E184"/>
  <c r="I270" i="2"/>
  <c r="I271" s="1"/>
  <c r="J271" s="1"/>
  <c r="I312"/>
  <c r="I248"/>
  <c r="H116" i="1"/>
  <c r="H181"/>
  <c r="I277" i="3"/>
  <c r="I239"/>
  <c r="I240" s="1"/>
  <c r="J240" s="1"/>
  <c r="H226" i="2"/>
  <c r="E147" i="3"/>
  <c r="H184"/>
  <c r="H238" s="1"/>
  <c r="H249" s="1"/>
  <c r="H250" s="1"/>
  <c r="H117"/>
  <c r="H199"/>
  <c r="I104"/>
  <c r="G107"/>
  <c r="G108" s="1"/>
  <c r="G116" s="1"/>
  <c r="F206"/>
  <c r="L66" i="1"/>
  <c r="M65"/>
  <c r="L182"/>
  <c r="L191" s="1"/>
  <c r="L141" s="1"/>
  <c r="K213" i="3"/>
  <c r="E195" i="2"/>
  <c r="L185" i="3"/>
  <c r="L66"/>
  <c r="M66" s="1"/>
  <c r="N66" s="1"/>
  <c r="N365"/>
  <c r="N471" s="1"/>
  <c r="N463"/>
  <c r="E379"/>
  <c r="H200"/>
  <c r="I82"/>
  <c r="I85" s="1"/>
  <c r="I181" s="1"/>
  <c r="J436"/>
  <c r="J346"/>
  <c r="G186"/>
  <c r="G376"/>
  <c r="G245"/>
  <c r="J334"/>
  <c r="J129" i="2"/>
  <c r="J130" s="1"/>
  <c r="K70"/>
  <c r="J367"/>
  <c r="J200"/>
  <c r="J148" s="1"/>
  <c r="J222" s="1"/>
  <c r="H196" i="1"/>
  <c r="I103"/>
  <c r="I104" s="1"/>
  <c r="I112" s="1"/>
  <c r="I113" s="1"/>
  <c r="E167" i="3"/>
  <c r="E135"/>
  <c r="E187"/>
  <c r="E254" s="1"/>
  <c r="I180"/>
  <c r="I95"/>
  <c r="I97" s="1"/>
  <c r="I91"/>
  <c r="I89"/>
  <c r="I96"/>
  <c r="I103" s="1"/>
  <c r="J77" i="2"/>
  <c r="H192"/>
  <c r="H406"/>
  <c r="H272"/>
  <c r="H107" i="3"/>
  <c r="G206"/>
  <c r="D198"/>
  <c r="H236"/>
  <c r="H182"/>
  <c r="H243"/>
  <c r="H244" s="1"/>
  <c r="H99"/>
  <c r="H106" s="1"/>
  <c r="H98"/>
  <c r="F182"/>
  <c r="F260"/>
  <c r="F218"/>
  <c r="E410" i="2"/>
  <c r="D208"/>
  <c r="D212"/>
  <c r="D224" s="1"/>
  <c r="L210" i="1"/>
  <c r="J279" i="3"/>
  <c r="G192" i="2"/>
  <c r="H253"/>
  <c r="M209" l="1"/>
  <c r="L211"/>
  <c r="L225"/>
  <c r="J78" i="1"/>
  <c r="J83"/>
  <c r="M54" i="2"/>
  <c r="L81"/>
  <c r="K73" i="1"/>
  <c r="K180"/>
  <c r="L86"/>
  <c r="I132"/>
  <c r="I157"/>
  <c r="I197"/>
  <c r="J82"/>
  <c r="H100" i="3"/>
  <c r="I92"/>
  <c r="G251" i="2"/>
  <c r="L72" i="1"/>
  <c r="M51"/>
  <c r="H254" i="2"/>
  <c r="H250"/>
  <c r="H251" s="1"/>
  <c r="I255"/>
  <c r="H256"/>
  <c r="H227"/>
  <c r="I97" i="1"/>
  <c r="I98"/>
  <c r="I105" s="1"/>
  <c r="I106"/>
  <c r="H203"/>
  <c r="G203"/>
  <c r="H106"/>
  <c r="H107" s="1"/>
  <c r="H115" s="1"/>
  <c r="J155"/>
  <c r="J158"/>
  <c r="K154" s="1"/>
  <c r="K74"/>
  <c r="J84"/>
  <c r="G272" i="2"/>
  <c r="G406"/>
  <c r="H258"/>
  <c r="I160" i="3"/>
  <c r="J156" s="1"/>
  <c r="J160" s="1"/>
  <c r="K156" s="1"/>
  <c r="K160" s="1"/>
  <c r="L156" s="1"/>
  <c r="L160" s="1"/>
  <c r="M156" s="1"/>
  <c r="M160" s="1"/>
  <c r="N156" s="1"/>
  <c r="N160" s="1"/>
  <c r="I157"/>
  <c r="H133"/>
  <c r="H159"/>
  <c r="J162" i="2"/>
  <c r="J166" s="1"/>
  <c r="K162" s="1"/>
  <c r="K166" s="1"/>
  <c r="L162" s="1"/>
  <c r="L166" s="1"/>
  <c r="M162" s="1"/>
  <c r="M166" s="1"/>
  <c r="N162" s="1"/>
  <c r="N166" s="1"/>
  <c r="H139"/>
  <c r="H165"/>
  <c r="K302"/>
  <c r="K310"/>
  <c r="J302"/>
  <c r="N302"/>
  <c r="L310"/>
  <c r="P272"/>
  <c r="M302"/>
  <c r="M310"/>
  <c r="L302"/>
  <c r="J310"/>
  <c r="N310"/>
  <c r="G261" i="3"/>
  <c r="H409" i="2"/>
  <c r="H410" s="1"/>
  <c r="G409"/>
  <c r="K279" i="3"/>
  <c r="F376"/>
  <c r="F245"/>
  <c r="F186"/>
  <c r="H245"/>
  <c r="H376"/>
  <c r="H186"/>
  <c r="D202"/>
  <c r="D204"/>
  <c r="D215" s="1"/>
  <c r="I226" i="2"/>
  <c r="I236" i="3"/>
  <c r="I243"/>
  <c r="I244" s="1"/>
  <c r="J244" s="1"/>
  <c r="I283"/>
  <c r="I182"/>
  <c r="L70" i="2"/>
  <c r="K74"/>
  <c r="I252"/>
  <c r="I253" s="1"/>
  <c r="J253" s="1"/>
  <c r="I353"/>
  <c r="I450" s="1"/>
  <c r="J433" i="3"/>
  <c r="J341"/>
  <c r="J438" s="1"/>
  <c r="J349"/>
  <c r="J443"/>
  <c r="J355"/>
  <c r="I265" i="2"/>
  <c r="I276" s="1"/>
  <c r="I277" s="1"/>
  <c r="J309"/>
  <c r="K306"/>
  <c r="M64" i="3"/>
  <c r="M68" s="1"/>
  <c r="L203"/>
  <c r="J72"/>
  <c r="K51"/>
  <c r="I196" i="1"/>
  <c r="J103"/>
  <c r="E145"/>
  <c r="D195"/>
  <c r="K436" i="3"/>
  <c r="K346"/>
  <c r="J88" i="1"/>
  <c r="J94"/>
  <c r="J96" s="1"/>
  <c r="J177"/>
  <c r="J95"/>
  <c r="J102" s="1"/>
  <c r="J90"/>
  <c r="M79"/>
  <c r="I99" i="3"/>
  <c r="I106" s="1"/>
  <c r="I98"/>
  <c r="J183"/>
  <c r="K86"/>
  <c r="J243"/>
  <c r="H108"/>
  <c r="H116" s="1"/>
  <c r="E189"/>
  <c r="H259"/>
  <c r="I107"/>
  <c r="I108" s="1"/>
  <c r="I116" s="1"/>
  <c r="H206"/>
  <c r="K67" i="2"/>
  <c r="I184" i="3"/>
  <c r="I238" s="1"/>
  <c r="I249" s="1"/>
  <c r="I250" s="1"/>
  <c r="J250" s="1"/>
  <c r="I117"/>
  <c r="I199"/>
  <c r="J104"/>
  <c r="J376" i="2"/>
  <c r="J466"/>
  <c r="G379" i="3"/>
  <c r="G380" s="1"/>
  <c r="H258"/>
  <c r="H218"/>
  <c r="H260"/>
  <c r="E380"/>
  <c r="L194"/>
  <c r="L142" s="1"/>
  <c r="L337"/>
  <c r="E196" i="2"/>
  <c r="E197" s="1"/>
  <c r="E407"/>
  <c r="M66" i="1"/>
  <c r="N65"/>
  <c r="M182"/>
  <c r="M191" s="1"/>
  <c r="M141" s="1"/>
  <c r="M210" s="1"/>
  <c r="F261" i="3"/>
  <c r="L18"/>
  <c r="L41" s="1"/>
  <c r="N18"/>
  <c r="N41" s="1"/>
  <c r="J271"/>
  <c r="J277" s="1"/>
  <c r="N271"/>
  <c r="M271"/>
  <c r="K18"/>
  <c r="K41" s="1"/>
  <c r="M18"/>
  <c r="M41" s="1"/>
  <c r="J18"/>
  <c r="J41" s="1"/>
  <c r="J52" s="1"/>
  <c r="L271"/>
  <c r="K271"/>
  <c r="I317" i="2"/>
  <c r="J317" s="1"/>
  <c r="K317" s="1"/>
  <c r="L317" s="1"/>
  <c r="M317" s="1"/>
  <c r="N317" s="1"/>
  <c r="J312"/>
  <c r="J64" i="1"/>
  <c r="J68" s="1"/>
  <c r="I200"/>
  <c r="K334" i="3"/>
  <c r="K19"/>
  <c r="K42" s="1"/>
  <c r="M19"/>
  <c r="M42" s="1"/>
  <c r="J19"/>
  <c r="J42" s="1"/>
  <c r="J79" s="1"/>
  <c r="M272"/>
  <c r="L272"/>
  <c r="L19"/>
  <c r="L42" s="1"/>
  <c r="N19"/>
  <c r="N42" s="1"/>
  <c r="K272"/>
  <c r="J272"/>
  <c r="J278" s="1"/>
  <c r="K278" s="1"/>
  <c r="L278" s="1"/>
  <c r="M278" s="1"/>
  <c r="N278" s="1"/>
  <c r="N272"/>
  <c r="L52" i="1"/>
  <c r="K53"/>
  <c r="I258" i="3"/>
  <c r="I260"/>
  <c r="I324"/>
  <c r="I421" s="1"/>
  <c r="I218"/>
  <c r="J56" i="2"/>
  <c r="K55"/>
  <c r="J189"/>
  <c r="K92"/>
  <c r="L213" i="3"/>
  <c r="M213" s="1"/>
  <c r="N213" s="1"/>
  <c r="I105"/>
  <c r="I113" s="1"/>
  <c r="I114" s="1"/>
  <c r="J311" i="2"/>
  <c r="J277"/>
  <c r="I91" i="1"/>
  <c r="E186"/>
  <c r="N209" i="2" l="1"/>
  <c r="M211"/>
  <c r="M225"/>
  <c r="K32"/>
  <c r="L32" s="1"/>
  <c r="M32" s="1"/>
  <c r="N32" s="1"/>
  <c r="J197" i="1"/>
  <c r="K82"/>
  <c r="K155"/>
  <c r="K158"/>
  <c r="L154" s="1"/>
  <c r="L73"/>
  <c r="I254" i="2"/>
  <c r="I354"/>
  <c r="I451" s="1"/>
  <c r="I453" s="1"/>
  <c r="I250"/>
  <c r="I227"/>
  <c r="I256"/>
  <c r="I249"/>
  <c r="L74" i="1"/>
  <c r="K84"/>
  <c r="M81" i="2"/>
  <c r="N54"/>
  <c r="N81" s="1"/>
  <c r="I257"/>
  <c r="I258" s="1"/>
  <c r="J258" s="1"/>
  <c r="J33" s="1"/>
  <c r="K33" s="1"/>
  <c r="L33" s="1"/>
  <c r="M33" s="1"/>
  <c r="N33" s="1"/>
  <c r="I358"/>
  <c r="J132" i="1"/>
  <c r="J157"/>
  <c r="M72"/>
  <c r="M73" s="1"/>
  <c r="N74" s="1"/>
  <c r="N51"/>
  <c r="N72" s="1"/>
  <c r="M86"/>
  <c r="L180"/>
  <c r="J98"/>
  <c r="J105" s="1"/>
  <c r="J97"/>
  <c r="J179"/>
  <c r="I107"/>
  <c r="I115" s="1"/>
  <c r="I99"/>
  <c r="J85"/>
  <c r="J178" s="1"/>
  <c r="K75"/>
  <c r="I133" i="3"/>
  <c r="I159"/>
  <c r="K277"/>
  <c r="L277" s="1"/>
  <c r="M277" s="1"/>
  <c r="N277" s="1"/>
  <c r="J280"/>
  <c r="K245"/>
  <c r="L273"/>
  <c r="J281"/>
  <c r="N281"/>
  <c r="M273"/>
  <c r="M281"/>
  <c r="J273"/>
  <c r="L281"/>
  <c r="K281"/>
  <c r="N273"/>
  <c r="K273"/>
  <c r="L92" i="2"/>
  <c r="K189"/>
  <c r="K56"/>
  <c r="L55"/>
  <c r="E187" i="1"/>
  <c r="E117" s="1"/>
  <c r="E118" s="1"/>
  <c r="E119" s="1"/>
  <c r="L22" i="2"/>
  <c r="L47" s="1"/>
  <c r="N22"/>
  <c r="N47" s="1"/>
  <c r="M22"/>
  <c r="M47" s="1"/>
  <c r="K22"/>
  <c r="K47" s="1"/>
  <c r="J22"/>
  <c r="J47" s="1"/>
  <c r="K311"/>
  <c r="J313"/>
  <c r="J101"/>
  <c r="J103" s="1"/>
  <c r="J186"/>
  <c r="K90" i="1"/>
  <c r="K88"/>
  <c r="K94"/>
  <c r="K96" s="1"/>
  <c r="K95"/>
  <c r="K102" s="1"/>
  <c r="K177"/>
  <c r="J314" i="2"/>
  <c r="K312"/>
  <c r="N66" i="1"/>
  <c r="N182"/>
  <c r="N191" s="1"/>
  <c r="N141" s="1"/>
  <c r="N210" s="1"/>
  <c r="E221" i="2"/>
  <c r="E198"/>
  <c r="F199" s="1"/>
  <c r="E408"/>
  <c r="E260"/>
  <c r="E297"/>
  <c r="E124"/>
  <c r="E125" s="1"/>
  <c r="E126" s="1"/>
  <c r="J473"/>
  <c r="J385"/>
  <c r="I259" i="3"/>
  <c r="I323"/>
  <c r="I420" s="1"/>
  <c r="I423" s="1"/>
  <c r="H261"/>
  <c r="E190"/>
  <c r="E191" s="1"/>
  <c r="E377"/>
  <c r="K183"/>
  <c r="L86"/>
  <c r="N79" i="1"/>
  <c r="K103"/>
  <c r="K104" s="1"/>
  <c r="K112" s="1"/>
  <c r="K113" s="1"/>
  <c r="J196"/>
  <c r="K355" i="3"/>
  <c r="K443"/>
  <c r="K72"/>
  <c r="L51"/>
  <c r="L334"/>
  <c r="K75" i="2"/>
  <c r="K76"/>
  <c r="K77" s="1"/>
  <c r="K191"/>
  <c r="I376" i="3"/>
  <c r="I245"/>
  <c r="J245" s="1"/>
  <c r="I186"/>
  <c r="H379"/>
  <c r="H380" s="1"/>
  <c r="J258"/>
  <c r="I100"/>
  <c r="J104" i="1"/>
  <c r="J112" s="1"/>
  <c r="J113" s="1"/>
  <c r="I181"/>
  <c r="I183" s="1"/>
  <c r="I116"/>
  <c r="L53"/>
  <c r="M52"/>
  <c r="K79" i="3"/>
  <c r="K433"/>
  <c r="K341"/>
  <c r="K438" s="1"/>
  <c r="K349"/>
  <c r="K64" i="1"/>
  <c r="K68" s="1"/>
  <c r="J200"/>
  <c r="J53" i="3"/>
  <c r="K52"/>
  <c r="L346"/>
  <c r="L436"/>
  <c r="L21"/>
  <c r="L44" s="1"/>
  <c r="N21"/>
  <c r="N44" s="1"/>
  <c r="K21"/>
  <c r="K44" s="1"/>
  <c r="M21"/>
  <c r="M44" s="1"/>
  <c r="J21"/>
  <c r="J44" s="1"/>
  <c r="J92" s="1"/>
  <c r="J364" i="2"/>
  <c r="J226"/>
  <c r="D201" i="1"/>
  <c r="D212" s="1"/>
  <c r="D199"/>
  <c r="M203" i="3"/>
  <c r="N64"/>
  <c r="N68" s="1"/>
  <c r="N203" s="1"/>
  <c r="L306" i="2"/>
  <c r="K309"/>
  <c r="J365" i="3"/>
  <c r="J471" s="1"/>
  <c r="J463"/>
  <c r="J359"/>
  <c r="J446"/>
  <c r="M70" i="2"/>
  <c r="F379" i="3"/>
  <c r="K280"/>
  <c r="L279"/>
  <c r="G410" i="2"/>
  <c r="P273"/>
  <c r="R272"/>
  <c r="J259" i="3"/>
  <c r="J91" i="1"/>
  <c r="J283" i="3"/>
  <c r="J282"/>
  <c r="I382"/>
  <c r="N211" i="2" l="1"/>
  <c r="N225"/>
  <c r="K30" i="3"/>
  <c r="L30" s="1"/>
  <c r="M30" s="1"/>
  <c r="N30" s="1"/>
  <c r="K78" i="1"/>
  <c r="K83"/>
  <c r="N86"/>
  <c r="N180" s="1"/>
  <c r="M180"/>
  <c r="M74"/>
  <c r="M75" s="1"/>
  <c r="L84"/>
  <c r="L155"/>
  <c r="L158"/>
  <c r="M154" s="1"/>
  <c r="K29" i="3"/>
  <c r="L29" s="1"/>
  <c r="M29" s="1"/>
  <c r="N29" s="1"/>
  <c r="J73"/>
  <c r="K74" s="1"/>
  <c r="J106" i="1"/>
  <c r="J107" s="1"/>
  <c r="J115" s="1"/>
  <c r="I203"/>
  <c r="N73"/>
  <c r="N75" s="1"/>
  <c r="I359" i="2"/>
  <c r="I456" s="1"/>
  <c r="I457" s="1"/>
  <c r="I455"/>
  <c r="L82" i="1"/>
  <c r="K197"/>
  <c r="I409" i="2"/>
  <c r="I272"/>
  <c r="J272" s="1"/>
  <c r="J315" s="1"/>
  <c r="I406"/>
  <c r="I412" s="1"/>
  <c r="K132" i="1"/>
  <c r="K157"/>
  <c r="K85"/>
  <c r="K178" s="1"/>
  <c r="K179" s="1"/>
  <c r="M84"/>
  <c r="K91"/>
  <c r="J102" i="2"/>
  <c r="J109" s="1"/>
  <c r="J111" s="1"/>
  <c r="J119" s="1"/>
  <c r="J120" s="1"/>
  <c r="J99" i="1"/>
  <c r="I251" i="2"/>
  <c r="J251" s="1"/>
  <c r="L75" i="1"/>
  <c r="J284" i="3"/>
  <c r="K282"/>
  <c r="J286"/>
  <c r="J181" i="1"/>
  <c r="J183" s="1"/>
  <c r="J116"/>
  <c r="N70" i="2"/>
  <c r="J368" i="3"/>
  <c r="J474" s="1"/>
  <c r="J465"/>
  <c r="M306" i="2"/>
  <c r="L309"/>
  <c r="N334" i="3"/>
  <c r="K283"/>
  <c r="J285"/>
  <c r="L280"/>
  <c r="M279"/>
  <c r="M334"/>
  <c r="J117"/>
  <c r="J184"/>
  <c r="K92"/>
  <c r="L355"/>
  <c r="L443"/>
  <c r="L52"/>
  <c r="K53"/>
  <c r="K446"/>
  <c r="K359"/>
  <c r="L79"/>
  <c r="L95" i="1"/>
  <c r="L102" s="1"/>
  <c r="L90"/>
  <c r="L88"/>
  <c r="L91" s="1"/>
  <c r="L94"/>
  <c r="L96" s="1"/>
  <c r="L177"/>
  <c r="I379" i="3"/>
  <c r="I380" s="1"/>
  <c r="L71" i="2"/>
  <c r="K129"/>
  <c r="K130" s="1"/>
  <c r="L72" i="3"/>
  <c r="M51"/>
  <c r="N84" i="1"/>
  <c r="N197" s="1"/>
  <c r="E118" i="3"/>
  <c r="E119" s="1"/>
  <c r="E120" s="1"/>
  <c r="E268"/>
  <c r="J395" i="2"/>
  <c r="J501" s="1"/>
  <c r="J493"/>
  <c r="E131"/>
  <c r="F147"/>
  <c r="F149" s="1"/>
  <c r="E235"/>
  <c r="L312"/>
  <c r="K314"/>
  <c r="K196" i="1"/>
  <c r="L103"/>
  <c r="J205" i="2"/>
  <c r="K110"/>
  <c r="K313"/>
  <c r="L311"/>
  <c r="K315"/>
  <c r="M55"/>
  <c r="L56"/>
  <c r="E188" i="1"/>
  <c r="R273" i="2"/>
  <c r="P274"/>
  <c r="F380" i="3"/>
  <c r="I386" s="1"/>
  <c r="I385"/>
  <c r="J371" i="2"/>
  <c r="J468" s="1"/>
  <c r="J379"/>
  <c r="J463"/>
  <c r="J96" i="3"/>
  <c r="J103" s="1"/>
  <c r="J105" s="1"/>
  <c r="J113" s="1"/>
  <c r="J114" s="1"/>
  <c r="J95"/>
  <c r="J97" s="1"/>
  <c r="J180"/>
  <c r="L64" i="1"/>
  <c r="L68" s="1"/>
  <c r="K200"/>
  <c r="N52"/>
  <c r="N53" s="1"/>
  <c r="M53"/>
  <c r="J107" i="3"/>
  <c r="I206"/>
  <c r="L67" i="2"/>
  <c r="K200"/>
  <c r="K148" s="1"/>
  <c r="K222" s="1"/>
  <c r="K367"/>
  <c r="L341" i="3"/>
  <c r="L438" s="1"/>
  <c r="L349"/>
  <c r="L433"/>
  <c r="K365"/>
  <c r="K471" s="1"/>
  <c r="K463"/>
  <c r="N82" i="1"/>
  <c r="M197"/>
  <c r="L183" i="3"/>
  <c r="M86"/>
  <c r="E193"/>
  <c r="E192"/>
  <c r="E378"/>
  <c r="F259" i="2"/>
  <c r="F261" s="1"/>
  <c r="F220"/>
  <c r="K181" i="1"/>
  <c r="K116"/>
  <c r="J316" i="2"/>
  <c r="J123"/>
  <c r="K98"/>
  <c r="J190"/>
  <c r="E124" i="1"/>
  <c r="E128"/>
  <c r="K102" i="2"/>
  <c r="K109" s="1"/>
  <c r="K101"/>
  <c r="K103" s="1"/>
  <c r="K186"/>
  <c r="M92"/>
  <c r="L189"/>
  <c r="K246" i="3"/>
  <c r="M245"/>
  <c r="J75" l="1"/>
  <c r="J78" s="1"/>
  <c r="E136" i="2"/>
  <c r="F179" s="1"/>
  <c r="K73" i="3"/>
  <c r="L74" s="1"/>
  <c r="J84"/>
  <c r="J200" s="1"/>
  <c r="J324" s="1"/>
  <c r="J421" s="1"/>
  <c r="N78" i="1"/>
  <c r="N83"/>
  <c r="L78"/>
  <c r="L83"/>
  <c r="J203"/>
  <c r="K106"/>
  <c r="K107" s="1"/>
  <c r="K115" s="1"/>
  <c r="M155"/>
  <c r="M158"/>
  <c r="N154" s="1"/>
  <c r="L197"/>
  <c r="M82"/>
  <c r="K98"/>
  <c r="K105" s="1"/>
  <c r="K97"/>
  <c r="K99" s="1"/>
  <c r="K31" i="2"/>
  <c r="J82"/>
  <c r="I410"/>
  <c r="I416" s="1"/>
  <c r="I415"/>
  <c r="L132" i="1"/>
  <c r="L157"/>
  <c r="M78"/>
  <c r="M83"/>
  <c r="K183"/>
  <c r="N85"/>
  <c r="N178" s="1"/>
  <c r="L85"/>
  <c r="L178" s="1"/>
  <c r="L179" s="1"/>
  <c r="L183" s="1"/>
  <c r="K316" i="2"/>
  <c r="F133" i="1"/>
  <c r="E204"/>
  <c r="E205" s="1"/>
  <c r="E166"/>
  <c r="E233" i="2"/>
  <c r="F262"/>
  <c r="F141" i="3"/>
  <c r="F143" s="1"/>
  <c r="E226"/>
  <c r="N86"/>
  <c r="N183" s="1"/>
  <c r="M183"/>
  <c r="K364" i="2"/>
  <c r="K226"/>
  <c r="K247" i="3"/>
  <c r="M246"/>
  <c r="M189" i="2"/>
  <c r="N92"/>
  <c r="N189" s="1"/>
  <c r="L110"/>
  <c r="K205"/>
  <c r="K353" s="1"/>
  <c r="K450" s="1"/>
  <c r="K123"/>
  <c r="L98"/>
  <c r="K190"/>
  <c r="E212" i="3"/>
  <c r="L359"/>
  <c r="L446"/>
  <c r="K376" i="2"/>
  <c r="K466"/>
  <c r="I328" i="3"/>
  <c r="I261"/>
  <c r="J261" s="1"/>
  <c r="J31" s="1"/>
  <c r="K31" s="1"/>
  <c r="L31" s="1"/>
  <c r="M31" s="1"/>
  <c r="N31" s="1"/>
  <c r="M90" i="1"/>
  <c r="M95"/>
  <c r="M102" s="1"/>
  <c r="M94"/>
  <c r="M96" s="1"/>
  <c r="M88"/>
  <c r="M177"/>
  <c r="J476" i="2"/>
  <c r="J389"/>
  <c r="R274"/>
  <c r="P275"/>
  <c r="E189" i="1"/>
  <c r="F140" s="1"/>
  <c r="F142" s="1"/>
  <c r="E190"/>
  <c r="N55" i="2"/>
  <c r="N56" s="1"/>
  <c r="M56"/>
  <c r="L313"/>
  <c r="M311"/>
  <c r="L315"/>
  <c r="E144"/>
  <c r="E150" s="1"/>
  <c r="E154" s="1"/>
  <c r="F140"/>
  <c r="E215"/>
  <c r="E174"/>
  <c r="N98" i="1"/>
  <c r="N105" s="1"/>
  <c r="N97"/>
  <c r="N99" s="1"/>
  <c r="N203" s="1"/>
  <c r="N51" i="3"/>
  <c r="N72" s="1"/>
  <c r="M72"/>
  <c r="M71" i="2"/>
  <c r="L74"/>
  <c r="L196" i="1"/>
  <c r="M103"/>
  <c r="M104" s="1"/>
  <c r="M112" s="1"/>
  <c r="M113" s="1"/>
  <c r="K368" i="3"/>
  <c r="K474" s="1"/>
  <c r="K465"/>
  <c r="K180"/>
  <c r="K95"/>
  <c r="K97" s="1"/>
  <c r="K96"/>
  <c r="K103" s="1"/>
  <c r="K184"/>
  <c r="L92"/>
  <c r="K117"/>
  <c r="M433"/>
  <c r="M341"/>
  <c r="M438" s="1"/>
  <c r="M349"/>
  <c r="K285"/>
  <c r="L283"/>
  <c r="N433"/>
  <c r="N341"/>
  <c r="N438" s="1"/>
  <c r="N349"/>
  <c r="N306" i="2"/>
  <c r="N309" s="1"/>
  <c r="M309"/>
  <c r="K284" i="3"/>
  <c r="L282"/>
  <c r="K286"/>
  <c r="E129" i="1"/>
  <c r="K111" i="2"/>
  <c r="K119" s="1"/>
  <c r="K120" s="1"/>
  <c r="L104" i="1"/>
  <c r="L112" s="1"/>
  <c r="L113" s="1"/>
  <c r="N88"/>
  <c r="N95"/>
  <c r="N102" s="1"/>
  <c r="N177"/>
  <c r="N179" s="1"/>
  <c r="N90"/>
  <c r="N94"/>
  <c r="N96" s="1"/>
  <c r="N196" s="1"/>
  <c r="M64"/>
  <c r="M68" s="1"/>
  <c r="L200"/>
  <c r="K104" i="3"/>
  <c r="J199"/>
  <c r="J323" s="1"/>
  <c r="J420" s="1"/>
  <c r="L101" i="2"/>
  <c r="L103" s="1"/>
  <c r="L186"/>
  <c r="L102"/>
  <c r="L109" s="1"/>
  <c r="J353"/>
  <c r="J450" s="1"/>
  <c r="L314"/>
  <c r="M312"/>
  <c r="E181"/>
  <c r="E182" s="1"/>
  <c r="E217"/>
  <c r="E129" i="3"/>
  <c r="E125"/>
  <c r="E130" s="1"/>
  <c r="L73"/>
  <c r="M74" s="1"/>
  <c r="L116" i="1"/>
  <c r="L181"/>
  <c r="M79" i="3"/>
  <c r="M52"/>
  <c r="L53"/>
  <c r="L365"/>
  <c r="L471" s="1"/>
  <c r="L463"/>
  <c r="N279"/>
  <c r="N280" s="1"/>
  <c r="M280"/>
  <c r="J83" l="1"/>
  <c r="J99" s="1"/>
  <c r="J106" s="1"/>
  <c r="J108" s="1"/>
  <c r="J116" s="1"/>
  <c r="K82"/>
  <c r="K84"/>
  <c r="K200" s="1"/>
  <c r="K75"/>
  <c r="K83" s="1"/>
  <c r="K98" s="1"/>
  <c r="K105"/>
  <c r="K113" s="1"/>
  <c r="K114" s="1"/>
  <c r="L31" i="2"/>
  <c r="K82"/>
  <c r="M132" i="1"/>
  <c r="M157"/>
  <c r="M98"/>
  <c r="M105" s="1"/>
  <c r="M97"/>
  <c r="J90" i="2"/>
  <c r="J84"/>
  <c r="J89" s="1"/>
  <c r="K83"/>
  <c r="K203" i="1"/>
  <c r="L106"/>
  <c r="N155"/>
  <c r="N158"/>
  <c r="L97"/>
  <c r="L99" s="1"/>
  <c r="L98"/>
  <c r="L105" s="1"/>
  <c r="M85"/>
  <c r="M178" s="1"/>
  <c r="M179" s="1"/>
  <c r="L84" i="3"/>
  <c r="M82" s="1"/>
  <c r="L75"/>
  <c r="L83" s="1"/>
  <c r="J423"/>
  <c r="F173"/>
  <c r="E176"/>
  <c r="E209"/>
  <c r="F178" i="2"/>
  <c r="F177"/>
  <c r="E326"/>
  <c r="M53" i="3"/>
  <c r="N52"/>
  <c r="N53" s="1"/>
  <c r="N79"/>
  <c r="F134"/>
  <c r="E148"/>
  <c r="E138"/>
  <c r="E144" s="1"/>
  <c r="E207"/>
  <c r="E168"/>
  <c r="F324" i="2"/>
  <c r="F142"/>
  <c r="N312"/>
  <c r="N314" s="1"/>
  <c r="M314"/>
  <c r="M110"/>
  <c r="L205"/>
  <c r="L353" s="1"/>
  <c r="L450" s="1"/>
  <c r="M283" i="3"/>
  <c r="L285"/>
  <c r="M359"/>
  <c r="M446"/>
  <c r="L117"/>
  <c r="L184"/>
  <c r="M92"/>
  <c r="N71" i="2"/>
  <c r="N73" i="3"/>
  <c r="F194" i="2"/>
  <c r="F152"/>
  <c r="E207"/>
  <c r="E294" s="1"/>
  <c r="E155"/>
  <c r="E156" s="1"/>
  <c r="E157" s="1"/>
  <c r="N101"/>
  <c r="N103" s="1"/>
  <c r="N205" s="1"/>
  <c r="N353" s="1"/>
  <c r="N450" s="1"/>
  <c r="N102"/>
  <c r="N109" s="1"/>
  <c r="N186"/>
  <c r="I329" i="3"/>
  <c r="I426" s="1"/>
  <c r="I427" s="1"/>
  <c r="I425"/>
  <c r="K473" i="2"/>
  <c r="K385"/>
  <c r="L368" i="3"/>
  <c r="L474" s="1"/>
  <c r="L465"/>
  <c r="E262"/>
  <c r="M98" i="2"/>
  <c r="L190"/>
  <c r="L123"/>
  <c r="K463"/>
  <c r="K371"/>
  <c r="K468" s="1"/>
  <c r="K379"/>
  <c r="N91" i="1"/>
  <c r="M91"/>
  <c r="L95" i="3"/>
  <c r="L97" s="1"/>
  <c r="L180"/>
  <c r="L96"/>
  <c r="L103" s="1"/>
  <c r="E319" i="2"/>
  <c r="L316"/>
  <c r="M200" i="1"/>
  <c r="N64"/>
  <c r="N68" s="1"/>
  <c r="N200" s="1"/>
  <c r="F171"/>
  <c r="E173"/>
  <c r="E206"/>
  <c r="E207" s="1"/>
  <c r="L284" i="3"/>
  <c r="M282"/>
  <c r="L286"/>
  <c r="N446"/>
  <c r="N359"/>
  <c r="L104"/>
  <c r="K199"/>
  <c r="K323" s="1"/>
  <c r="K420" s="1"/>
  <c r="L76" i="2"/>
  <c r="L77" s="1"/>
  <c r="L75"/>
  <c r="L191"/>
  <c r="M73" i="3"/>
  <c r="N74" s="1"/>
  <c r="F171" i="2"/>
  <c r="F172"/>
  <c r="E284"/>
  <c r="E318"/>
  <c r="E216"/>
  <c r="E218" s="1"/>
  <c r="E223" s="1"/>
  <c r="N311"/>
  <c r="M315"/>
  <c r="M313"/>
  <c r="M101"/>
  <c r="M103" s="1"/>
  <c r="M186"/>
  <c r="M102"/>
  <c r="M109" s="1"/>
  <c r="E209" i="1"/>
  <c r="P276" i="2"/>
  <c r="R275"/>
  <c r="J398"/>
  <c r="J504" s="1"/>
  <c r="J495"/>
  <c r="N103" i="1"/>
  <c r="N104" s="1"/>
  <c r="N112" s="1"/>
  <c r="N113" s="1"/>
  <c r="M196"/>
  <c r="M247" i="3"/>
  <c r="K248"/>
  <c r="F164" i="1"/>
  <c r="F163"/>
  <c r="L111" i="2"/>
  <c r="L119" s="1"/>
  <c r="L120" s="1"/>
  <c r="E137" i="1"/>
  <c r="E146" s="1"/>
  <c r="J98" i="3" l="1"/>
  <c r="J100" s="1"/>
  <c r="K107" s="1"/>
  <c r="K99"/>
  <c r="K106" s="1"/>
  <c r="J85"/>
  <c r="J181" s="1"/>
  <c r="J182" s="1"/>
  <c r="J186" s="1"/>
  <c r="J353" s="1"/>
  <c r="L82"/>
  <c r="L85" s="1"/>
  <c r="L181" s="1"/>
  <c r="L182" s="1"/>
  <c r="K78"/>
  <c r="K85"/>
  <c r="K181" s="1"/>
  <c r="K182" s="1"/>
  <c r="K186" s="1"/>
  <c r="L200"/>
  <c r="L324" s="1"/>
  <c r="L421" s="1"/>
  <c r="M31" i="2"/>
  <c r="L82"/>
  <c r="L107" i="1"/>
  <c r="L115" s="1"/>
  <c r="M99"/>
  <c r="M106"/>
  <c r="M107" s="1"/>
  <c r="M115" s="1"/>
  <c r="L203"/>
  <c r="N132"/>
  <c r="N157"/>
  <c r="J105" i="2"/>
  <c r="J112" s="1"/>
  <c r="J114" s="1"/>
  <c r="J122" s="1"/>
  <c r="J104"/>
  <c r="J91"/>
  <c r="J187" s="1"/>
  <c r="J188" s="1"/>
  <c r="K88"/>
  <c r="J206"/>
  <c r="J354" s="1"/>
  <c r="J451" s="1"/>
  <c r="J453" s="1"/>
  <c r="K90"/>
  <c r="L83"/>
  <c r="K84"/>
  <c r="K89" s="1"/>
  <c r="M75" i="3"/>
  <c r="M78" s="1"/>
  <c r="L105"/>
  <c r="L113" s="1"/>
  <c r="L114" s="1"/>
  <c r="N75"/>
  <c r="N78" s="1"/>
  <c r="N84"/>
  <c r="N200" s="1"/>
  <c r="N324" s="1"/>
  <c r="N421" s="1"/>
  <c r="L78"/>
  <c r="M67" i="2"/>
  <c r="F144" i="1"/>
  <c r="F185"/>
  <c r="E198"/>
  <c r="E147"/>
  <c r="E148" s="1"/>
  <c r="E149" s="1"/>
  <c r="N282" i="3"/>
  <c r="M286"/>
  <c r="M284"/>
  <c r="F170" i="1"/>
  <c r="F169"/>
  <c r="F165"/>
  <c r="F134"/>
  <c r="M248" i="3"/>
  <c r="K249"/>
  <c r="R276" i="2"/>
  <c r="P277"/>
  <c r="R277" s="1"/>
  <c r="M316"/>
  <c r="N315"/>
  <c r="N313"/>
  <c r="F141"/>
  <c r="F173"/>
  <c r="N368" i="3"/>
  <c r="N474" s="1"/>
  <c r="N465"/>
  <c r="F135" i="1"/>
  <c r="K324" i="3"/>
  <c r="K421" s="1"/>
  <c r="K423" s="1"/>
  <c r="L99"/>
  <c r="L106" s="1"/>
  <c r="L98"/>
  <c r="M104"/>
  <c r="L199"/>
  <c r="L323" s="1"/>
  <c r="L420" s="1"/>
  <c r="N181" i="1"/>
  <c r="N183" s="1"/>
  <c r="N116"/>
  <c r="K389" i="2"/>
  <c r="K476"/>
  <c r="K395"/>
  <c r="K501" s="1"/>
  <c r="K493"/>
  <c r="N316"/>
  <c r="F293"/>
  <c r="F295" s="1"/>
  <c r="F296" s="1"/>
  <c r="E288" i="3"/>
  <c r="E255"/>
  <c r="E208"/>
  <c r="F146"/>
  <c r="F188"/>
  <c r="E201"/>
  <c r="E265" s="1"/>
  <c r="F266" s="1"/>
  <c r="F267" s="1"/>
  <c r="E149"/>
  <c r="E150" s="1"/>
  <c r="E151" s="1"/>
  <c r="N95"/>
  <c r="N97" s="1"/>
  <c r="N199" s="1"/>
  <c r="N323" s="1"/>
  <c r="N420" s="1"/>
  <c r="N96"/>
  <c r="N103" s="1"/>
  <c r="N180"/>
  <c r="F323" i="2"/>
  <c r="F143"/>
  <c r="F180"/>
  <c r="F325" s="1"/>
  <c r="F193"/>
  <c r="F283" s="1"/>
  <c r="F285" s="1"/>
  <c r="F286" s="1"/>
  <c r="E296" i="3"/>
  <c r="F171"/>
  <c r="F172"/>
  <c r="E211" i="1"/>
  <c r="M84" i="3"/>
  <c r="N110" i="2"/>
  <c r="N111" s="1"/>
  <c r="N119" s="1"/>
  <c r="N120" s="1"/>
  <c r="M205"/>
  <c r="M353" s="1"/>
  <c r="M450" s="1"/>
  <c r="L367"/>
  <c r="L200"/>
  <c r="L148" s="1"/>
  <c r="L222" s="1"/>
  <c r="L129"/>
  <c r="M72"/>
  <c r="M116" i="1"/>
  <c r="M181"/>
  <c r="M183" s="1"/>
  <c r="N98" i="2"/>
  <c r="M190"/>
  <c r="M123"/>
  <c r="E204"/>
  <c r="F153"/>
  <c r="N92" i="3"/>
  <c r="M117"/>
  <c r="M184"/>
  <c r="M368"/>
  <c r="M474" s="1"/>
  <c r="M465"/>
  <c r="M285"/>
  <c r="N283"/>
  <c r="N285" s="1"/>
  <c r="F165"/>
  <c r="F166"/>
  <c r="M95"/>
  <c r="M97" s="1"/>
  <c r="M96"/>
  <c r="M103" s="1"/>
  <c r="M180"/>
  <c r="F322" i="2"/>
  <c r="E289" i="3"/>
  <c r="E210"/>
  <c r="E214" s="1"/>
  <c r="F294"/>
  <c r="F136"/>
  <c r="M111" i="2"/>
  <c r="M119" s="1"/>
  <c r="M120" s="1"/>
  <c r="J379" i="3" l="1"/>
  <c r="J380" s="1"/>
  <c r="J206"/>
  <c r="J328" s="1"/>
  <c r="J425" s="1"/>
  <c r="K100"/>
  <c r="K206" s="1"/>
  <c r="K108"/>
  <c r="K116" s="1"/>
  <c r="J376"/>
  <c r="K376"/>
  <c r="M83"/>
  <c r="M85" s="1"/>
  <c r="M181" s="1"/>
  <c r="M182" s="1"/>
  <c r="J106" i="2"/>
  <c r="K113" s="1"/>
  <c r="J406"/>
  <c r="J192"/>
  <c r="N31"/>
  <c r="N82" s="1"/>
  <c r="N90" s="1"/>
  <c r="N206" s="1"/>
  <c r="N354" s="1"/>
  <c r="N451" s="1"/>
  <c r="N453" s="1"/>
  <c r="M82"/>
  <c r="K105"/>
  <c r="K112" s="1"/>
  <c r="K104"/>
  <c r="K206"/>
  <c r="K354" s="1"/>
  <c r="K451" s="1"/>
  <c r="K453" s="1"/>
  <c r="L88"/>
  <c r="M203" i="1"/>
  <c r="N106"/>
  <c r="N107" s="1"/>
  <c r="N115" s="1"/>
  <c r="M83" i="2"/>
  <c r="L90"/>
  <c r="L84"/>
  <c r="L89" s="1"/>
  <c r="K91"/>
  <c r="K187" s="1"/>
  <c r="K188" s="1"/>
  <c r="N83" i="3"/>
  <c r="N99" s="1"/>
  <c r="N106" s="1"/>
  <c r="L100"/>
  <c r="L206" s="1"/>
  <c r="L423"/>
  <c r="L130" i="2"/>
  <c r="Q129"/>
  <c r="L466"/>
  <c r="L376"/>
  <c r="N104" i="3"/>
  <c r="N105" s="1"/>
  <c r="N113" s="1"/>
  <c r="N114" s="1"/>
  <c r="M199"/>
  <c r="M323" s="1"/>
  <c r="M420" s="1"/>
  <c r="N117"/>
  <c r="N184"/>
  <c r="E246" i="2"/>
  <c r="E247" s="1"/>
  <c r="E208"/>
  <c r="E212"/>
  <c r="E224" s="1"/>
  <c r="N123"/>
  <c r="N190"/>
  <c r="N72"/>
  <c r="M74"/>
  <c r="N82" i="3"/>
  <c r="M200"/>
  <c r="L107"/>
  <c r="L108" s="1"/>
  <c r="L116" s="1"/>
  <c r="J363"/>
  <c r="J461"/>
  <c r="F293"/>
  <c r="F174"/>
  <c r="F295" s="1"/>
  <c r="F137"/>
  <c r="F187"/>
  <c r="F254" s="1"/>
  <c r="F256" s="1"/>
  <c r="F257" s="1"/>
  <c r="J329"/>
  <c r="J426" s="1"/>
  <c r="J427" s="1"/>
  <c r="J428" s="1"/>
  <c r="E198"/>
  <c r="F264"/>
  <c r="K398" i="2"/>
  <c r="K504" s="1"/>
  <c r="K495"/>
  <c r="F136" i="1"/>
  <c r="F184"/>
  <c r="F186" s="1"/>
  <c r="F172"/>
  <c r="E195"/>
  <c r="F145"/>
  <c r="K379" i="3"/>
  <c r="K380" s="1"/>
  <c r="K353"/>
  <c r="N423"/>
  <c r="M105"/>
  <c r="M113" s="1"/>
  <c r="M114" s="1"/>
  <c r="L186"/>
  <c r="L376"/>
  <c r="F167"/>
  <c r="F135"/>
  <c r="F292"/>
  <c r="F147"/>
  <c r="K250"/>
  <c r="M250" s="1"/>
  <c r="M249"/>
  <c r="N286"/>
  <c r="N284"/>
  <c r="L226" i="2"/>
  <c r="L364"/>
  <c r="F195"/>
  <c r="M99" i="3" l="1"/>
  <c r="M106" s="1"/>
  <c r="M98"/>
  <c r="K114" i="2"/>
  <c r="K122" s="1"/>
  <c r="J214"/>
  <c r="J358" s="1"/>
  <c r="J359" s="1"/>
  <c r="J456" s="1"/>
  <c r="J457" s="1"/>
  <c r="J458" s="1"/>
  <c r="K106"/>
  <c r="L113" s="1"/>
  <c r="M107" i="3"/>
  <c r="N85"/>
  <c r="N181" s="1"/>
  <c r="N182" s="1"/>
  <c r="N186" s="1"/>
  <c r="L206" i="2"/>
  <c r="L354" s="1"/>
  <c r="L451" s="1"/>
  <c r="L453" s="1"/>
  <c r="M88"/>
  <c r="J455"/>
  <c r="K214"/>
  <c r="K358" s="1"/>
  <c r="L91"/>
  <c r="L187" s="1"/>
  <c r="L188" s="1"/>
  <c r="K192"/>
  <c r="K406"/>
  <c r="L105"/>
  <c r="L112" s="1"/>
  <c r="L104"/>
  <c r="M90"/>
  <c r="N83"/>
  <c r="N84" s="1"/>
  <c r="N89" s="1"/>
  <c r="M84"/>
  <c r="M89" s="1"/>
  <c r="J383"/>
  <c r="J409"/>
  <c r="J410" s="1"/>
  <c r="N98" i="3"/>
  <c r="N100" s="1"/>
  <c r="N206" s="1"/>
  <c r="L371" i="2"/>
  <c r="L468" s="1"/>
  <c r="L379"/>
  <c r="L463"/>
  <c r="F187" i="1"/>
  <c r="F117" s="1"/>
  <c r="F118" s="1"/>
  <c r="F119" s="1"/>
  <c r="F196" i="2"/>
  <c r="F407"/>
  <c r="F197"/>
  <c r="L328" i="3"/>
  <c r="L379"/>
  <c r="L353"/>
  <c r="K461"/>
  <c r="K363"/>
  <c r="E199" i="1"/>
  <c r="E201"/>
  <c r="E212" s="1"/>
  <c r="E202" i="3"/>
  <c r="E252"/>
  <c r="E253" s="1"/>
  <c r="E204"/>
  <c r="E215" s="1"/>
  <c r="J444"/>
  <c r="J472"/>
  <c r="J464"/>
  <c r="J437"/>
  <c r="J469"/>
  <c r="F189"/>
  <c r="M376"/>
  <c r="M186"/>
  <c r="K328"/>
  <c r="M324"/>
  <c r="M421" s="1"/>
  <c r="M423" s="1"/>
  <c r="M76" i="2"/>
  <c r="M191"/>
  <c r="M75"/>
  <c r="L385"/>
  <c r="L473"/>
  <c r="N376" i="3" l="1"/>
  <c r="N382" s="1"/>
  <c r="O382" s="1"/>
  <c r="M100"/>
  <c r="M206" s="1"/>
  <c r="M328" s="1"/>
  <c r="M108"/>
  <c r="M116" s="1"/>
  <c r="M91" i="2"/>
  <c r="M187" s="1"/>
  <c r="M188" s="1"/>
  <c r="M406" s="1"/>
  <c r="L106"/>
  <c r="M113" s="1"/>
  <c r="M105"/>
  <c r="M112" s="1"/>
  <c r="M104"/>
  <c r="M206"/>
  <c r="M354" s="1"/>
  <c r="M451" s="1"/>
  <c r="M453" s="1"/>
  <c r="N88"/>
  <c r="N91" s="1"/>
  <c r="N187" s="1"/>
  <c r="N188" s="1"/>
  <c r="N406" s="1"/>
  <c r="K409"/>
  <c r="K410" s="1"/>
  <c r="K383"/>
  <c r="L192"/>
  <c r="L406"/>
  <c r="F188" i="1"/>
  <c r="F189" s="1"/>
  <c r="G140" s="1"/>
  <c r="G142" s="1"/>
  <c r="L114" i="2"/>
  <c r="L122" s="1"/>
  <c r="J491"/>
  <c r="J393"/>
  <c r="J499" s="1"/>
  <c r="N105"/>
  <c r="N112" s="1"/>
  <c r="N104"/>
  <c r="K359"/>
  <c r="K456" s="1"/>
  <c r="K457" s="1"/>
  <c r="K458" s="1"/>
  <c r="K455"/>
  <c r="J502"/>
  <c r="J467"/>
  <c r="J494"/>
  <c r="J474"/>
  <c r="K329" i="3"/>
  <c r="K426" s="1"/>
  <c r="K427" s="1"/>
  <c r="K428" s="1"/>
  <c r="K425"/>
  <c r="F221" i="2"/>
  <c r="F260"/>
  <c r="F408"/>
  <c r="F198"/>
  <c r="G199" s="1"/>
  <c r="F124"/>
  <c r="F125" s="1"/>
  <c r="F126" s="1"/>
  <c r="F135" s="1"/>
  <c r="F297"/>
  <c r="F128" i="1"/>
  <c r="F124"/>
  <c r="L476" i="2"/>
  <c r="L389"/>
  <c r="M129"/>
  <c r="M130" s="1"/>
  <c r="N73"/>
  <c r="N74" s="1"/>
  <c r="M77"/>
  <c r="L395"/>
  <c r="L501" s="1"/>
  <c r="L493"/>
  <c r="M367"/>
  <c r="M200"/>
  <c r="M148" s="1"/>
  <c r="M222" s="1"/>
  <c r="M379" i="3"/>
  <c r="M380" s="1"/>
  <c r="M353"/>
  <c r="F190"/>
  <c r="F377"/>
  <c r="F191"/>
  <c r="N328"/>
  <c r="K469"/>
  <c r="L461"/>
  <c r="L363"/>
  <c r="L380"/>
  <c r="L329"/>
  <c r="L426" s="1"/>
  <c r="L427" s="1"/>
  <c r="L425"/>
  <c r="N379"/>
  <c r="N380" s="1"/>
  <c r="N353"/>
  <c r="F190" i="1"/>
  <c r="L214" i="2" l="1"/>
  <c r="L358" s="1"/>
  <c r="L359" s="1"/>
  <c r="L456" s="1"/>
  <c r="L457" s="1"/>
  <c r="L458" s="1"/>
  <c r="N107" i="3"/>
  <c r="N108" s="1"/>
  <c r="N116" s="1"/>
  <c r="M192" i="2"/>
  <c r="M409" s="1"/>
  <c r="N412"/>
  <c r="O412" s="1"/>
  <c r="M114"/>
  <c r="M122" s="1"/>
  <c r="N106"/>
  <c r="N214" s="1"/>
  <c r="N358" s="1"/>
  <c r="N455" s="1"/>
  <c r="L428" i="3"/>
  <c r="L472" s="1"/>
  <c r="K474" i="2"/>
  <c r="K502"/>
  <c r="K467"/>
  <c r="K494"/>
  <c r="K393"/>
  <c r="K499" s="1"/>
  <c r="K491"/>
  <c r="M106"/>
  <c r="L409"/>
  <c r="L410" s="1"/>
  <c r="L383"/>
  <c r="N461" i="3"/>
  <c r="N363"/>
  <c r="L469"/>
  <c r="F378"/>
  <c r="F192"/>
  <c r="F193"/>
  <c r="F118"/>
  <c r="F119" s="1"/>
  <c r="F120" s="1"/>
  <c r="F268"/>
  <c r="M329"/>
  <c r="M426" s="1"/>
  <c r="M427" s="1"/>
  <c r="M428" s="1"/>
  <c r="M425"/>
  <c r="M461"/>
  <c r="M363"/>
  <c r="M376" i="2"/>
  <c r="M466"/>
  <c r="N75"/>
  <c r="N191"/>
  <c r="N76"/>
  <c r="N129" s="1"/>
  <c r="N130" s="1"/>
  <c r="G133" i="1"/>
  <c r="F204"/>
  <c r="F205" s="1"/>
  <c r="F166"/>
  <c r="F131" i="2"/>
  <c r="G259"/>
  <c r="G261" s="1"/>
  <c r="G220"/>
  <c r="K464" i="3"/>
  <c r="K444"/>
  <c r="K472"/>
  <c r="K437"/>
  <c r="N385"/>
  <c r="O385" s="1"/>
  <c r="F209" i="1"/>
  <c r="N329" i="3"/>
  <c r="N426" s="1"/>
  <c r="N427" s="1"/>
  <c r="N425"/>
  <c r="N67" i="2"/>
  <c r="L398"/>
  <c r="L504" s="1"/>
  <c r="L495"/>
  <c r="F235"/>
  <c r="G147"/>
  <c r="G149" s="1"/>
  <c r="N386" i="3"/>
  <c r="O386" s="1"/>
  <c r="F129" i="1"/>
  <c r="F137" s="1"/>
  <c r="F146" s="1"/>
  <c r="L455" i="2" l="1"/>
  <c r="N77"/>
  <c r="N364" s="1"/>
  <c r="M383"/>
  <c r="M491" s="1"/>
  <c r="N359"/>
  <c r="N456" s="1"/>
  <c r="N457" s="1"/>
  <c r="L437" i="3"/>
  <c r="L464"/>
  <c r="L444"/>
  <c r="L393" i="2"/>
  <c r="L499" s="1"/>
  <c r="L491"/>
  <c r="N113"/>
  <c r="N114" s="1"/>
  <c r="N122" s="1"/>
  <c r="M214"/>
  <c r="M358" s="1"/>
  <c r="L502"/>
  <c r="L494"/>
  <c r="L467"/>
  <c r="L474"/>
  <c r="G144" i="1"/>
  <c r="G185"/>
  <c r="F198"/>
  <c r="F147"/>
  <c r="F148" s="1"/>
  <c r="F149" s="1"/>
  <c r="G140" i="2"/>
  <c r="F215"/>
  <c r="F174"/>
  <c r="F206" i="1"/>
  <c r="F207" s="1"/>
  <c r="F211" s="1"/>
  <c r="G171"/>
  <c r="F173"/>
  <c r="M226" i="2"/>
  <c r="M364"/>
  <c r="F233"/>
  <c r="G262"/>
  <c r="M385"/>
  <c r="M473"/>
  <c r="M469" i="3"/>
  <c r="F212"/>
  <c r="N469"/>
  <c r="N428"/>
  <c r="F136" i="2"/>
  <c r="G164" i="1"/>
  <c r="G163"/>
  <c r="N367" i="2"/>
  <c r="N200"/>
  <c r="N148" s="1"/>
  <c r="N222" s="1"/>
  <c r="N192"/>
  <c r="M410"/>
  <c r="M444" i="3"/>
  <c r="M464"/>
  <c r="M437"/>
  <c r="M472"/>
  <c r="F129"/>
  <c r="F125"/>
  <c r="G141"/>
  <c r="G143" s="1"/>
  <c r="F226"/>
  <c r="N226" i="2" l="1"/>
  <c r="M393"/>
  <c r="M499" s="1"/>
  <c r="M455"/>
  <c r="M359"/>
  <c r="M456" s="1"/>
  <c r="M457" s="1"/>
  <c r="F130" i="3"/>
  <c r="G173" s="1"/>
  <c r="G134"/>
  <c r="F138"/>
  <c r="F144" s="1"/>
  <c r="F148" s="1"/>
  <c r="F207"/>
  <c r="F168"/>
  <c r="F181" i="2"/>
  <c r="F182" s="1"/>
  <c r="F217"/>
  <c r="F284" s="1"/>
  <c r="G179"/>
  <c r="F262" i="3"/>
  <c r="M395" i="2"/>
  <c r="M501" s="1"/>
  <c r="M493"/>
  <c r="M371"/>
  <c r="M468" s="1"/>
  <c r="M379"/>
  <c r="M463"/>
  <c r="G170" i="1"/>
  <c r="G169"/>
  <c r="F318" i="2"/>
  <c r="F216"/>
  <c r="G145" i="1"/>
  <c r="F144" i="2"/>
  <c r="F150" s="1"/>
  <c r="F154" s="1"/>
  <c r="F209" i="3"/>
  <c r="F176"/>
  <c r="N409" i="2"/>
  <c r="N383"/>
  <c r="N466"/>
  <c r="N376"/>
  <c r="G134" i="1"/>
  <c r="G165"/>
  <c r="N371" i="2"/>
  <c r="N468" s="1"/>
  <c r="N379"/>
  <c r="N463"/>
  <c r="N437" i="3"/>
  <c r="N444"/>
  <c r="N464"/>
  <c r="N472"/>
  <c r="G135" i="1"/>
  <c r="G171" i="2"/>
  <c r="G172"/>
  <c r="F195" i="1"/>
  <c r="N458" i="2" l="1"/>
  <c r="M458"/>
  <c r="G188" i="3"/>
  <c r="G146"/>
  <c r="F201"/>
  <c r="F265" s="1"/>
  <c r="F149"/>
  <c r="F150" s="1"/>
  <c r="F151" s="1"/>
  <c r="G294"/>
  <c r="G136"/>
  <c r="G136" i="1"/>
  <c r="G172"/>
  <c r="G184"/>
  <c r="G186" s="1"/>
  <c r="E224" i="3"/>
  <c r="F263"/>
  <c r="F199" i="1"/>
  <c r="F201"/>
  <c r="F212" s="1"/>
  <c r="N393" i="2"/>
  <c r="N491"/>
  <c r="F296" i="3"/>
  <c r="G171"/>
  <c r="G172"/>
  <c r="G194" i="2"/>
  <c r="G152"/>
  <c r="F207"/>
  <c r="F294" s="1"/>
  <c r="F155"/>
  <c r="F156" s="1"/>
  <c r="F157" s="1"/>
  <c r="F319"/>
  <c r="F218"/>
  <c r="F223" s="1"/>
  <c r="F230"/>
  <c r="G178"/>
  <c r="F326"/>
  <c r="G177"/>
  <c r="G173"/>
  <c r="G141"/>
  <c r="N476"/>
  <c r="N389"/>
  <c r="N473"/>
  <c r="N385"/>
  <c r="N410"/>
  <c r="N416" s="1"/>
  <c r="O416" s="1"/>
  <c r="N415"/>
  <c r="O415" s="1"/>
  <c r="F289" i="3"/>
  <c r="F221"/>
  <c r="M476" i="2"/>
  <c r="M389"/>
  <c r="G324"/>
  <c r="G142"/>
  <c r="G165" i="3"/>
  <c r="G166"/>
  <c r="F255"/>
  <c r="F288"/>
  <c r="F208"/>
  <c r="F210" s="1"/>
  <c r="F214" s="1"/>
  <c r="N502" i="2" l="1"/>
  <c r="N474"/>
  <c r="N467"/>
  <c r="N494"/>
  <c r="M467"/>
  <c r="M494"/>
  <c r="M474"/>
  <c r="M502"/>
  <c r="G322"/>
  <c r="G180"/>
  <c r="G325" s="1"/>
  <c r="G143"/>
  <c r="G323"/>
  <c r="G193"/>
  <c r="G283" s="1"/>
  <c r="G285" s="1"/>
  <c r="G286" s="1"/>
  <c r="F320"/>
  <c r="G153"/>
  <c r="G293" i="3"/>
  <c r="G174"/>
  <c r="G295" s="1"/>
  <c r="G137"/>
  <c r="G187"/>
  <c r="G254" s="1"/>
  <c r="G256" s="1"/>
  <c r="G257" s="1"/>
  <c r="N499" i="2"/>
  <c r="F198" i="3"/>
  <c r="G264"/>
  <c r="G189"/>
  <c r="G266"/>
  <c r="G267" s="1"/>
  <c r="G135"/>
  <c r="G167"/>
  <c r="M398" i="2"/>
  <c r="M504" s="1"/>
  <c r="M495"/>
  <c r="F290" i="3"/>
  <c r="N395" i="2"/>
  <c r="N501" s="1"/>
  <c r="N493"/>
  <c r="N398"/>
  <c r="N504" s="1"/>
  <c r="N495"/>
  <c r="F204"/>
  <c r="G293"/>
  <c r="G295" s="1"/>
  <c r="G296" s="1"/>
  <c r="G292" i="3"/>
  <c r="G187" i="1"/>
  <c r="G117" s="1"/>
  <c r="G118" s="1"/>
  <c r="G119" s="1"/>
  <c r="G147" i="3"/>
  <c r="G195" i="2" l="1"/>
  <c r="G188" i="1"/>
  <c r="G189"/>
  <c r="H140" s="1"/>
  <c r="H142" s="1"/>
  <c r="G190"/>
  <c r="F208" i="2"/>
  <c r="F212"/>
  <c r="F224" s="1"/>
  <c r="G190" i="3"/>
  <c r="G377"/>
  <c r="G191"/>
  <c r="G128" i="1"/>
  <c r="G124"/>
  <c r="G407" i="2"/>
  <c r="G196"/>
  <c r="G197" s="1"/>
  <c r="F202" i="3"/>
  <c r="F204"/>
  <c r="F215" s="1"/>
  <c r="G260" i="2" l="1"/>
  <c r="G408"/>
  <c r="G198"/>
  <c r="G221"/>
  <c r="H199"/>
  <c r="G297"/>
  <c r="G124"/>
  <c r="G125" s="1"/>
  <c r="G126" s="1"/>
  <c r="G378" i="3"/>
  <c r="G192"/>
  <c r="G193"/>
  <c r="G268"/>
  <c r="G118"/>
  <c r="G119" s="1"/>
  <c r="G120" s="1"/>
  <c r="G129" i="1"/>
  <c r="G137" s="1"/>
  <c r="G146" s="1"/>
  <c r="H133"/>
  <c r="G204"/>
  <c r="G205" s="1"/>
  <c r="G166"/>
  <c r="G209"/>
  <c r="H144" l="1"/>
  <c r="H185"/>
  <c r="G198"/>
  <c r="G147"/>
  <c r="G148" s="1"/>
  <c r="G149" s="1"/>
  <c r="G131" i="2"/>
  <c r="H164" i="1"/>
  <c r="H163"/>
  <c r="G206"/>
  <c r="G207" s="1"/>
  <c r="G211" s="1"/>
  <c r="H171"/>
  <c r="G173"/>
  <c r="G125" i="3"/>
  <c r="G129"/>
  <c r="G212"/>
  <c r="H259" i="2"/>
  <c r="H261" s="1"/>
  <c r="H220"/>
  <c r="H147"/>
  <c r="H149" s="1"/>
  <c r="G235"/>
  <c r="H141" i="3"/>
  <c r="H143" s="1"/>
  <c r="G226"/>
  <c r="G136" i="2" l="1"/>
  <c r="G181" s="1"/>
  <c r="G182" s="1"/>
  <c r="H134" i="3"/>
  <c r="G207"/>
  <c r="G168"/>
  <c r="H262" i="2"/>
  <c r="G233"/>
  <c r="H135" i="1"/>
  <c r="H140" i="2"/>
  <c r="G144"/>
  <c r="G150" s="1"/>
  <c r="G154" s="1"/>
  <c r="G215"/>
  <c r="G174"/>
  <c r="G195" i="1"/>
  <c r="H145"/>
  <c r="G130" i="3"/>
  <c r="G262"/>
  <c r="H169" i="1"/>
  <c r="H170"/>
  <c r="H165"/>
  <c r="H134"/>
  <c r="G217" i="2"/>
  <c r="H179"/>
  <c r="H194" l="1"/>
  <c r="H152"/>
  <c r="G207"/>
  <c r="G294" s="1"/>
  <c r="G155"/>
  <c r="G156" s="1"/>
  <c r="G157" s="1"/>
  <c r="G319"/>
  <c r="G230"/>
  <c r="H172" i="1"/>
  <c r="H136"/>
  <c r="H184"/>
  <c r="H186" s="1"/>
  <c r="G263" i="3"/>
  <c r="F224"/>
  <c r="G199" i="1"/>
  <c r="G201"/>
  <c r="G212" s="1"/>
  <c r="H166" i="3"/>
  <c r="H165"/>
  <c r="G288"/>
  <c r="G208"/>
  <c r="H324" i="2"/>
  <c r="I324" s="1"/>
  <c r="H142"/>
  <c r="H178"/>
  <c r="H177"/>
  <c r="G326"/>
  <c r="H171"/>
  <c r="H172"/>
  <c r="G318"/>
  <c r="G284"/>
  <c r="G216"/>
  <c r="G218" s="1"/>
  <c r="G223" s="1"/>
  <c r="G209" i="3"/>
  <c r="H173"/>
  <c r="G176"/>
  <c r="G138"/>
  <c r="G144" s="1"/>
  <c r="G148" s="1"/>
  <c r="H188" l="1"/>
  <c r="H146"/>
  <c r="G201"/>
  <c r="G265" s="1"/>
  <c r="G149"/>
  <c r="G150" s="1"/>
  <c r="G151" s="1"/>
  <c r="G210"/>
  <c r="G214" s="1"/>
  <c r="G289"/>
  <c r="G221"/>
  <c r="H180" i="2"/>
  <c r="H325" s="1"/>
  <c r="H323"/>
  <c r="H143"/>
  <c r="H193"/>
  <c r="H283" s="1"/>
  <c r="H285" s="1"/>
  <c r="H286" s="1"/>
  <c r="H187" i="1"/>
  <c r="H117" s="1"/>
  <c r="H118" s="1"/>
  <c r="H119" s="1"/>
  <c r="G204" i="2"/>
  <c r="H172" i="3"/>
  <c r="G296"/>
  <c r="H171"/>
  <c r="H141" i="2"/>
  <c r="H173"/>
  <c r="H322"/>
  <c r="H326" s="1"/>
  <c r="I322" s="1"/>
  <c r="J324"/>
  <c r="G320"/>
  <c r="H293"/>
  <c r="H295" s="1"/>
  <c r="H296" s="1"/>
  <c r="H195"/>
  <c r="G255" i="3"/>
  <c r="H294"/>
  <c r="I294" s="1"/>
  <c r="H136"/>
  <c r="H167"/>
  <c r="H135"/>
  <c r="H153" i="2"/>
  <c r="H188" i="1" l="1"/>
  <c r="I326" i="2"/>
  <c r="J322" s="1"/>
  <c r="I323"/>
  <c r="I325" s="1"/>
  <c r="G208"/>
  <c r="G246"/>
  <c r="G247" s="1"/>
  <c r="G212"/>
  <c r="G224" s="1"/>
  <c r="H189" i="1"/>
  <c r="I140" s="1"/>
  <c r="I142" s="1"/>
  <c r="H190"/>
  <c r="G290" i="3"/>
  <c r="J294"/>
  <c r="H196" i="2"/>
  <c r="H197" s="1"/>
  <c r="H407"/>
  <c r="H292" i="3"/>
  <c r="H296" s="1"/>
  <c r="I292" s="1"/>
  <c r="H174"/>
  <c r="H295" s="1"/>
  <c r="H293"/>
  <c r="H137"/>
  <c r="H187"/>
  <c r="H254" s="1"/>
  <c r="H256" s="1"/>
  <c r="H257" s="1"/>
  <c r="H124" i="1"/>
  <c r="H128"/>
  <c r="G198" i="3"/>
  <c r="H147"/>
  <c r="K324" i="2"/>
  <c r="H264" i="3"/>
  <c r="H266" s="1"/>
  <c r="H267" s="1"/>
  <c r="H189" l="1"/>
  <c r="H129" i="1"/>
  <c r="H206" s="1"/>
  <c r="L324" i="2"/>
  <c r="G252" i="3"/>
  <c r="G253" s="1"/>
  <c r="G202"/>
  <c r="G204"/>
  <c r="G215" s="1"/>
  <c r="H377"/>
  <c r="H190"/>
  <c r="I133" i="1"/>
  <c r="H204"/>
  <c r="H205" s="1"/>
  <c r="H166"/>
  <c r="H297" i="2"/>
  <c r="H124"/>
  <c r="H125" s="1"/>
  <c r="H126" s="1"/>
  <c r="H135" s="1"/>
  <c r="K294" i="3"/>
  <c r="I296"/>
  <c r="J292" s="1"/>
  <c r="I293"/>
  <c r="I295" s="1"/>
  <c r="H198" i="2"/>
  <c r="H408"/>
  <c r="H221"/>
  <c r="H260"/>
  <c r="H209" i="1"/>
  <c r="J326" i="2"/>
  <c r="K322" s="1"/>
  <c r="H207" i="1" l="1"/>
  <c r="I171"/>
  <c r="I135" s="1"/>
  <c r="H137"/>
  <c r="H146" s="1"/>
  <c r="H211"/>
  <c r="H173"/>
  <c r="I169" s="1"/>
  <c r="H131" i="2"/>
  <c r="I164" i="1"/>
  <c r="I163"/>
  <c r="H118" i="3"/>
  <c r="H119" s="1"/>
  <c r="H120" s="1"/>
  <c r="H268"/>
  <c r="K326" i="2"/>
  <c r="L322" s="1"/>
  <c r="I259"/>
  <c r="I261" s="1"/>
  <c r="H235"/>
  <c r="J296" i="3"/>
  <c r="K292" s="1"/>
  <c r="L294"/>
  <c r="H191"/>
  <c r="I185" i="1"/>
  <c r="I144"/>
  <c r="H198"/>
  <c r="H147"/>
  <c r="H148" s="1"/>
  <c r="H149" s="1"/>
  <c r="M324" i="2"/>
  <c r="I170" i="1" l="1"/>
  <c r="H136" i="2"/>
  <c r="H334" s="1"/>
  <c r="N324"/>
  <c r="I262"/>
  <c r="J262" s="1"/>
  <c r="J34" s="1"/>
  <c r="K34" s="1"/>
  <c r="L34" s="1"/>
  <c r="M34" s="1"/>
  <c r="N34" s="1"/>
  <c r="H233"/>
  <c r="H129" i="3"/>
  <c r="H125"/>
  <c r="H181" i="2"/>
  <c r="H182" s="1"/>
  <c r="I136" i="1"/>
  <c r="I172"/>
  <c r="I184"/>
  <c r="I186" s="1"/>
  <c r="H195"/>
  <c r="I145"/>
  <c r="H192" i="3"/>
  <c r="H378"/>
  <c r="H193"/>
  <c r="M294"/>
  <c r="K296"/>
  <c r="L292" s="1"/>
  <c r="L326" i="2"/>
  <c r="M322" s="1"/>
  <c r="H144"/>
  <c r="H150" s="1"/>
  <c r="H154" s="1"/>
  <c r="H215"/>
  <c r="H174"/>
  <c r="I165" i="1"/>
  <c r="I134"/>
  <c r="H217" i="2" l="1"/>
  <c r="H230" s="1"/>
  <c r="H130" i="3"/>
  <c r="H207" i="2"/>
  <c r="H294" s="1"/>
  <c r="I295" s="1"/>
  <c r="I296" s="1"/>
  <c r="J296" s="1"/>
  <c r="H155"/>
  <c r="H156" s="1"/>
  <c r="H157" s="1"/>
  <c r="I135" s="1"/>
  <c r="I187" i="1"/>
  <c r="I117" s="1"/>
  <c r="I118" s="1"/>
  <c r="I119" s="1"/>
  <c r="H318" i="2"/>
  <c r="H284"/>
  <c r="H216"/>
  <c r="M326"/>
  <c r="N322" s="1"/>
  <c r="N294" i="3"/>
  <c r="I141"/>
  <c r="I143" s="1"/>
  <c r="H226"/>
  <c r="H304"/>
  <c r="H209"/>
  <c r="I173"/>
  <c r="H176"/>
  <c r="L296"/>
  <c r="M292" s="1"/>
  <c r="H199" i="1"/>
  <c r="H201"/>
  <c r="H212" s="1"/>
  <c r="J177" i="2"/>
  <c r="H138" i="3"/>
  <c r="H144" s="1"/>
  <c r="H148" s="1"/>
  <c r="I134"/>
  <c r="H207"/>
  <c r="H168"/>
  <c r="O324" i="2"/>
  <c r="H212" i="3"/>
  <c r="H319" i="2"/>
  <c r="I330"/>
  <c r="O332"/>
  <c r="N332"/>
  <c r="M332"/>
  <c r="I332"/>
  <c r="P332"/>
  <c r="K332"/>
  <c r="J332"/>
  <c r="R332"/>
  <c r="L332"/>
  <c r="Q332"/>
  <c r="H218" l="1"/>
  <c r="H223" s="1"/>
  <c r="I188" i="3"/>
  <c r="I146"/>
  <c r="H201"/>
  <c r="H265" s="1"/>
  <c r="I266" s="1"/>
  <c r="I267" s="1"/>
  <c r="J267" s="1"/>
  <c r="H149"/>
  <c r="H150" s="1"/>
  <c r="H151" s="1"/>
  <c r="J142" i="2"/>
  <c r="H320"/>
  <c r="H262" i="3"/>
  <c r="H288"/>
  <c r="H255"/>
  <c r="H208"/>
  <c r="I334" i="2"/>
  <c r="J330" s="1"/>
  <c r="I331"/>
  <c r="I333" s="1"/>
  <c r="I165" i="3"/>
  <c r="I166"/>
  <c r="I283" i="2"/>
  <c r="I285" s="1"/>
  <c r="I286" s="1"/>
  <c r="J286" s="1"/>
  <c r="J26" s="1"/>
  <c r="K26" s="1"/>
  <c r="L26" s="1"/>
  <c r="M26" s="1"/>
  <c r="N26" s="1"/>
  <c r="I171" i="3"/>
  <c r="I172"/>
  <c r="P302"/>
  <c r="K302"/>
  <c r="N302"/>
  <c r="Q302"/>
  <c r="R302"/>
  <c r="L302"/>
  <c r="I300"/>
  <c r="O302"/>
  <c r="I302"/>
  <c r="J302"/>
  <c r="M302"/>
  <c r="O294"/>
  <c r="H204" i="2"/>
  <c r="J27"/>
  <c r="J62" s="1"/>
  <c r="J194" s="1"/>
  <c r="N27"/>
  <c r="N62" s="1"/>
  <c r="M27"/>
  <c r="M62" s="1"/>
  <c r="L27"/>
  <c r="L62" s="1"/>
  <c r="K27"/>
  <c r="K62" s="1"/>
  <c r="I293"/>
  <c r="I188" i="1"/>
  <c r="M296" i="3"/>
  <c r="N292" s="1"/>
  <c r="I136"/>
  <c r="H210"/>
  <c r="H214" s="1"/>
  <c r="H289"/>
  <c r="H221"/>
  <c r="N326" i="2"/>
  <c r="O322" s="1"/>
  <c r="I128" i="1"/>
  <c r="I124"/>
  <c r="O326" i="2" l="1"/>
  <c r="H290" i="3"/>
  <c r="I304"/>
  <c r="J300" s="1"/>
  <c r="I301"/>
  <c r="I303" s="1"/>
  <c r="I167"/>
  <c r="I135"/>
  <c r="J334" i="2"/>
  <c r="K330" s="1"/>
  <c r="G224" i="3"/>
  <c r="H263"/>
  <c r="H198"/>
  <c r="J26"/>
  <c r="J58" s="1"/>
  <c r="L26"/>
  <c r="L58" s="1"/>
  <c r="N26"/>
  <c r="N58" s="1"/>
  <c r="M26"/>
  <c r="M58" s="1"/>
  <c r="K26"/>
  <c r="K58" s="1"/>
  <c r="I264"/>
  <c r="J133" i="1"/>
  <c r="I204"/>
  <c r="I205" s="1"/>
  <c r="I166"/>
  <c r="I407" i="2"/>
  <c r="I413" s="1"/>
  <c r="N296" i="3"/>
  <c r="O292" s="1"/>
  <c r="I189" i="1"/>
  <c r="J140" s="1"/>
  <c r="J142" s="1"/>
  <c r="I190"/>
  <c r="H246" i="2"/>
  <c r="H247" s="1"/>
  <c r="H208"/>
  <c r="H212"/>
  <c r="H224" s="1"/>
  <c r="J136" i="3"/>
  <c r="I174"/>
  <c r="I137"/>
  <c r="I187"/>
  <c r="I254" s="1"/>
  <c r="I256" s="1"/>
  <c r="I257" s="1"/>
  <c r="J257" s="1"/>
  <c r="L63" i="2"/>
  <c r="L167" s="1"/>
  <c r="N63"/>
  <c r="N167" s="1"/>
  <c r="M63"/>
  <c r="M167" s="1"/>
  <c r="K63"/>
  <c r="K167" s="1"/>
  <c r="J63"/>
  <c r="J167" s="1"/>
  <c r="I147" i="3"/>
  <c r="I129" i="1"/>
  <c r="I137" s="1"/>
  <c r="I146" s="1"/>
  <c r="I189" i="3" l="1"/>
  <c r="J185" i="1"/>
  <c r="J144"/>
  <c r="I198"/>
  <c r="I147"/>
  <c r="I148" s="1"/>
  <c r="I149" s="1"/>
  <c r="J183" i="2"/>
  <c r="J175"/>
  <c r="J163"/>
  <c r="L163"/>
  <c r="L175"/>
  <c r="L183"/>
  <c r="I190" i="3"/>
  <c r="I191" s="1"/>
  <c r="I377"/>
  <c r="I383" s="1"/>
  <c r="K175" i="2"/>
  <c r="K163"/>
  <c r="K183"/>
  <c r="N183"/>
  <c r="N163"/>
  <c r="N175"/>
  <c r="N25" i="3"/>
  <c r="N60" s="1"/>
  <c r="N161" s="1"/>
  <c r="K25"/>
  <c r="K60" s="1"/>
  <c r="K161" s="1"/>
  <c r="J25"/>
  <c r="J60" s="1"/>
  <c r="J161" s="1"/>
  <c r="M25"/>
  <c r="M60" s="1"/>
  <c r="M161" s="1"/>
  <c r="L25"/>
  <c r="L60" s="1"/>
  <c r="L161" s="1"/>
  <c r="I209" i="1"/>
  <c r="I297" i="2"/>
  <c r="J297" s="1"/>
  <c r="J8" s="1"/>
  <c r="H252" i="3"/>
  <c r="H253" s="1"/>
  <c r="H202"/>
  <c r="H204"/>
  <c r="H215" s="1"/>
  <c r="K334" i="2"/>
  <c r="L330" s="1"/>
  <c r="J304" i="3"/>
  <c r="K300" s="1"/>
  <c r="I206" i="1"/>
  <c r="I207" s="1"/>
  <c r="J171"/>
  <c r="I173"/>
  <c r="M175" i="2"/>
  <c r="M183"/>
  <c r="M163"/>
  <c r="O296" i="3"/>
  <c r="J163" i="1"/>
  <c r="J164"/>
  <c r="J135" l="1"/>
  <c r="K157" i="3"/>
  <c r="K169"/>
  <c r="K177"/>
  <c r="J165" i="1"/>
  <c r="J134"/>
  <c r="M327" i="2"/>
  <c r="J169" i="1"/>
  <c r="J170"/>
  <c r="I408" i="2"/>
  <c r="I414" s="1"/>
  <c r="I260"/>
  <c r="K304" i="3"/>
  <c r="L300" s="1"/>
  <c r="L334" i="2"/>
  <c r="M330" s="1"/>
  <c r="K8"/>
  <c r="J384"/>
  <c r="L169" i="3"/>
  <c r="L177"/>
  <c r="L157"/>
  <c r="J169"/>
  <c r="J157"/>
  <c r="J177"/>
  <c r="N177"/>
  <c r="N169"/>
  <c r="N157"/>
  <c r="N165" i="2"/>
  <c r="K327"/>
  <c r="I118" i="3"/>
  <c r="I119" s="1"/>
  <c r="I120" s="1"/>
  <c r="I268"/>
  <c r="J268" s="1"/>
  <c r="J8" s="1"/>
  <c r="L327" i="2"/>
  <c r="L165"/>
  <c r="I211" i="1"/>
  <c r="M165" i="2"/>
  <c r="M169" i="3"/>
  <c r="M157"/>
  <c r="M177"/>
  <c r="N327" i="2"/>
  <c r="K165"/>
  <c r="I378" i="3"/>
  <c r="I384" s="1"/>
  <c r="I192"/>
  <c r="I193"/>
  <c r="J165" i="2"/>
  <c r="J178"/>
  <c r="J327"/>
  <c r="I195" i="1"/>
  <c r="J145"/>
  <c r="J335" i="2" l="1"/>
  <c r="J331" s="1"/>
  <c r="J333" s="1"/>
  <c r="J323"/>
  <c r="J325" s="1"/>
  <c r="O327"/>
  <c r="N335"/>
  <c r="N323"/>
  <c r="N325" s="1"/>
  <c r="M159" i="3"/>
  <c r="M133"/>
  <c r="L335" i="2"/>
  <c r="L331" s="1"/>
  <c r="L333" s="1"/>
  <c r="L323"/>
  <c r="L325" s="1"/>
  <c r="K335"/>
  <c r="K331" s="1"/>
  <c r="K333" s="1"/>
  <c r="K323"/>
  <c r="K325" s="1"/>
  <c r="J297" i="3"/>
  <c r="J492" i="2"/>
  <c r="J496" s="1"/>
  <c r="J394"/>
  <c r="J147"/>
  <c r="I235"/>
  <c r="I199" i="1"/>
  <c r="I201"/>
  <c r="I212" s="1"/>
  <c r="J143" i="2"/>
  <c r="J141" i="3"/>
  <c r="J143" s="1"/>
  <c r="I226"/>
  <c r="M297"/>
  <c r="K8"/>
  <c r="J354"/>
  <c r="N159"/>
  <c r="N133"/>
  <c r="N297"/>
  <c r="J159"/>
  <c r="J133"/>
  <c r="L159"/>
  <c r="L133"/>
  <c r="L8" i="2"/>
  <c r="K384"/>
  <c r="L304" i="3"/>
  <c r="M300" s="1"/>
  <c r="M335" i="2"/>
  <c r="M331" s="1"/>
  <c r="M333" s="1"/>
  <c r="M323"/>
  <c r="M325" s="1"/>
  <c r="I212" i="3"/>
  <c r="I262" s="1"/>
  <c r="I125"/>
  <c r="I129"/>
  <c r="L297"/>
  <c r="M334" i="2"/>
  <c r="N330" s="1"/>
  <c r="J136" i="1"/>
  <c r="J172"/>
  <c r="J184"/>
  <c r="J186" s="1"/>
  <c r="K297" i="3"/>
  <c r="K159"/>
  <c r="K133"/>
  <c r="N331" i="2" l="1"/>
  <c r="N333" s="1"/>
  <c r="N334"/>
  <c r="O330" s="1"/>
  <c r="J134" i="3"/>
  <c r="I207"/>
  <c r="I168"/>
  <c r="J172" i="2"/>
  <c r="J171"/>
  <c r="M304" i="3"/>
  <c r="N300" s="1"/>
  <c r="M8" i="2"/>
  <c r="L384"/>
  <c r="N305" i="3"/>
  <c r="O297"/>
  <c r="N293"/>
  <c r="N295" s="1"/>
  <c r="K305"/>
  <c r="K301" s="1"/>
  <c r="K303" s="1"/>
  <c r="K293"/>
  <c r="K295" s="1"/>
  <c r="J187" i="1"/>
  <c r="J117" s="1"/>
  <c r="J118" s="1"/>
  <c r="J119" s="1"/>
  <c r="L305" i="3"/>
  <c r="L301" s="1"/>
  <c r="L303" s="1"/>
  <c r="L293"/>
  <c r="L295" s="1"/>
  <c r="I318" i="2"/>
  <c r="K492"/>
  <c r="K496" s="1"/>
  <c r="K394"/>
  <c r="L8" i="3"/>
  <c r="K354"/>
  <c r="M305"/>
  <c r="M301" s="1"/>
  <c r="M303" s="1"/>
  <c r="M293"/>
  <c r="M295" s="1"/>
  <c r="J310"/>
  <c r="J500" i="2"/>
  <c r="I130" i="3"/>
  <c r="I138" s="1"/>
  <c r="I144" s="1"/>
  <c r="I148" s="1"/>
  <c r="H224"/>
  <c r="I263"/>
  <c r="J263" s="1"/>
  <c r="J32" s="1"/>
  <c r="K32" s="1"/>
  <c r="L32" s="1"/>
  <c r="M32" s="1"/>
  <c r="N32" s="1"/>
  <c r="J220" i="2"/>
  <c r="J364" i="3"/>
  <c r="J462"/>
  <c r="J466" s="1"/>
  <c r="J526" i="2"/>
  <c r="J305" i="3"/>
  <c r="J301" s="1"/>
  <c r="J303" s="1"/>
  <c r="J293"/>
  <c r="J295" s="1"/>
  <c r="O335" i="2"/>
  <c r="P335" s="1"/>
  <c r="Q335" s="1"/>
  <c r="R335" s="1"/>
  <c r="O323"/>
  <c r="O325" s="1"/>
  <c r="J146" i="3" l="1"/>
  <c r="I201"/>
  <c r="I149"/>
  <c r="I150" s="1"/>
  <c r="I151" s="1"/>
  <c r="J188"/>
  <c r="J496"/>
  <c r="J351"/>
  <c r="J374" s="1"/>
  <c r="M8"/>
  <c r="L354"/>
  <c r="K500" i="2"/>
  <c r="L492"/>
  <c r="L496" s="1"/>
  <c r="L394"/>
  <c r="J470" i="3"/>
  <c r="K462"/>
  <c r="K466" s="1"/>
  <c r="K364"/>
  <c r="K526" i="2"/>
  <c r="N8"/>
  <c r="N384" s="1"/>
  <c r="M384"/>
  <c r="N301" i="3"/>
  <c r="N303" s="1"/>
  <c r="N304"/>
  <c r="O300" s="1"/>
  <c r="J166"/>
  <c r="J165"/>
  <c r="J188" i="1"/>
  <c r="I209" i="3"/>
  <c r="J173"/>
  <c r="I176"/>
  <c r="J128" i="1"/>
  <c r="J124"/>
  <c r="O305" i="3"/>
  <c r="P305" s="1"/>
  <c r="Q305" s="1"/>
  <c r="R305" s="1"/>
  <c r="O293"/>
  <c r="O295" s="1"/>
  <c r="J141" i="2"/>
  <c r="J173"/>
  <c r="J193"/>
  <c r="I288" i="3"/>
  <c r="I255"/>
  <c r="I208"/>
  <c r="O331" i="2"/>
  <c r="O333" s="1"/>
  <c r="O334"/>
  <c r="P330" s="1"/>
  <c r="J129" i="1" l="1"/>
  <c r="J363" i="2"/>
  <c r="J368"/>
  <c r="J401" s="1"/>
  <c r="J505" s="1"/>
  <c r="K496" i="3"/>
  <c r="P334" i="2"/>
  <c r="Q330" s="1"/>
  <c r="P331"/>
  <c r="P333" s="1"/>
  <c r="J137" i="1"/>
  <c r="K133"/>
  <c r="J146"/>
  <c r="J204"/>
  <c r="J205" s="1"/>
  <c r="J166"/>
  <c r="I289" i="3"/>
  <c r="I290" s="1"/>
  <c r="I210"/>
  <c r="I214" s="1"/>
  <c r="I221"/>
  <c r="J189" i="1"/>
  <c r="K140" s="1"/>
  <c r="K142" s="1"/>
  <c r="J190"/>
  <c r="J167" i="3"/>
  <c r="J135"/>
  <c r="O301"/>
  <c r="O303" s="1"/>
  <c r="O304"/>
  <c r="P300" s="1"/>
  <c r="M394" i="2"/>
  <c r="M492"/>
  <c r="M496" s="1"/>
  <c r="K470" i="3"/>
  <c r="L526" i="2"/>
  <c r="N8" i="3"/>
  <c r="N354" s="1"/>
  <c r="M354"/>
  <c r="I198"/>
  <c r="J147"/>
  <c r="J206" i="1"/>
  <c r="K171"/>
  <c r="J173"/>
  <c r="J171" i="3"/>
  <c r="J172"/>
  <c r="N394" i="2"/>
  <c r="N492"/>
  <c r="N496" s="1"/>
  <c r="L500"/>
  <c r="L364" i="3"/>
  <c r="L462"/>
  <c r="L466" s="1"/>
  <c r="J488"/>
  <c r="J489" s="1"/>
  <c r="J356"/>
  <c r="I501"/>
  <c r="I265"/>
  <c r="I325"/>
  <c r="J207" i="1" l="1"/>
  <c r="L496" i="3"/>
  <c r="N526" i="2"/>
  <c r="M530" s="1"/>
  <c r="J137" i="3"/>
  <c r="J174"/>
  <c r="J187"/>
  <c r="K169" i="1"/>
  <c r="K170"/>
  <c r="M462" i="3"/>
  <c r="M466" s="1"/>
  <c r="M364"/>
  <c r="M526" i="2"/>
  <c r="P301" i="3"/>
  <c r="P303" s="1"/>
  <c r="P304"/>
  <c r="Q300" s="1"/>
  <c r="J209" i="1"/>
  <c r="J462" i="2"/>
  <c r="J510" s="1"/>
  <c r="J369"/>
  <c r="J402" s="1"/>
  <c r="J506" s="1"/>
  <c r="J342"/>
  <c r="J369" i="3"/>
  <c r="J453" s="1"/>
  <c r="J454" s="1"/>
  <c r="J455" s="1"/>
  <c r="J357"/>
  <c r="J370" s="1"/>
  <c r="L470"/>
  <c r="N500" i="2"/>
  <c r="K135" i="1"/>
  <c r="I202" i="3"/>
  <c r="I252"/>
  <c r="I253" s="1"/>
  <c r="J253" s="1"/>
  <c r="J33" s="1"/>
  <c r="I322"/>
  <c r="I326" s="1"/>
  <c r="I330" s="1"/>
  <c r="I204"/>
  <c r="I215" s="1"/>
  <c r="N462"/>
  <c r="N466" s="1"/>
  <c r="N364"/>
  <c r="M500" i="2"/>
  <c r="K163" i="1"/>
  <c r="K164"/>
  <c r="K185"/>
  <c r="K144"/>
  <c r="J198"/>
  <c r="J147"/>
  <c r="J148" s="1"/>
  <c r="J149" s="1"/>
  <c r="Q331" i="2"/>
  <c r="Q333" s="1"/>
  <c r="Q334"/>
  <c r="R330" s="1"/>
  <c r="J211" i="1"/>
  <c r="L530" i="2" l="1"/>
  <c r="K530" s="1"/>
  <c r="J530" s="1"/>
  <c r="I530" s="1"/>
  <c r="N470" i="3"/>
  <c r="J61"/>
  <c r="K33"/>
  <c r="Q304"/>
  <c r="R300" s="1"/>
  <c r="Q301"/>
  <c r="Q303" s="1"/>
  <c r="M496"/>
  <c r="R331" i="2"/>
  <c r="R333" s="1"/>
  <c r="R334"/>
  <c r="J195" i="1"/>
  <c r="K145"/>
  <c r="K134"/>
  <c r="K165"/>
  <c r="N496" i="3"/>
  <c r="M500" s="1"/>
  <c r="M470"/>
  <c r="K172" i="1"/>
  <c r="K136"/>
  <c r="K184"/>
  <c r="K186" s="1"/>
  <c r="J338" i="3"/>
  <c r="J371" s="1"/>
  <c r="J475" s="1"/>
  <c r="J333"/>
  <c r="J189"/>
  <c r="K187" i="1" l="1"/>
  <c r="K117" s="1"/>
  <c r="K118" s="1"/>
  <c r="K119" s="1"/>
  <c r="J190" i="3"/>
  <c r="J118" s="1"/>
  <c r="J119" s="1"/>
  <c r="J120" s="1"/>
  <c r="J377"/>
  <c r="R301"/>
  <c r="R303" s="1"/>
  <c r="R304"/>
  <c r="J339"/>
  <c r="J372" s="1"/>
  <c r="J476" s="1"/>
  <c r="J432"/>
  <c r="J480" s="1"/>
  <c r="J312"/>
  <c r="J199" i="1"/>
  <c r="J201"/>
  <c r="J212" s="1"/>
  <c r="L33" i="3"/>
  <c r="K61"/>
  <c r="L500"/>
  <c r="K500" s="1"/>
  <c r="J500" s="1"/>
  <c r="I500" s="1"/>
  <c r="I502" s="1"/>
  <c r="J191" l="1"/>
  <c r="J336" s="1"/>
  <c r="J125"/>
  <c r="J129"/>
  <c r="K124" i="1"/>
  <c r="K128"/>
  <c r="M33" i="3"/>
  <c r="L61"/>
  <c r="K188" i="1"/>
  <c r="J378" i="3" l="1"/>
  <c r="J193"/>
  <c r="J212" s="1"/>
  <c r="J192"/>
  <c r="K141" s="1"/>
  <c r="K143" s="1"/>
  <c r="K310" s="1"/>
  <c r="L133" i="1"/>
  <c r="K204"/>
  <c r="K205" s="1"/>
  <c r="K166"/>
  <c r="K134" i="3"/>
  <c r="J168"/>
  <c r="K189" i="1"/>
  <c r="L140" s="1"/>
  <c r="L142" s="1"/>
  <c r="K190"/>
  <c r="N33" i="3"/>
  <c r="N61" s="1"/>
  <c r="M61"/>
  <c r="J345"/>
  <c r="J435"/>
  <c r="J439" s="1"/>
  <c r="J449" s="1"/>
  <c r="K129" i="1"/>
  <c r="J130" i="3"/>
  <c r="J138" s="1"/>
  <c r="K206" i="1" l="1"/>
  <c r="K207" s="1"/>
  <c r="L171"/>
  <c r="K173"/>
  <c r="J442" i="3"/>
  <c r="K209" i="1"/>
  <c r="K165" i="3"/>
  <c r="K166"/>
  <c r="J207"/>
  <c r="J208" s="1"/>
  <c r="J309"/>
  <c r="J311" s="1"/>
  <c r="J313" s="1"/>
  <c r="J343" s="1"/>
  <c r="J440" s="1"/>
  <c r="J467" s="1"/>
  <c r="J144"/>
  <c r="J148" s="1"/>
  <c r="L164" i="1"/>
  <c r="L163"/>
  <c r="K173" i="3"/>
  <c r="J176"/>
  <c r="K351"/>
  <c r="K374" s="1"/>
  <c r="N389"/>
  <c r="K137" i="1"/>
  <c r="K146" s="1"/>
  <c r="L185" l="1"/>
  <c r="L144"/>
  <c r="K198"/>
  <c r="K147"/>
  <c r="K148" s="1"/>
  <c r="K149" s="1"/>
  <c r="K171" i="3"/>
  <c r="J209"/>
  <c r="K172"/>
  <c r="J495"/>
  <c r="J483"/>
  <c r="K135"/>
  <c r="K167"/>
  <c r="L169" i="1"/>
  <c r="L170"/>
  <c r="K136" i="3"/>
  <c r="L134" i="1"/>
  <c r="L165"/>
  <c r="K146" i="3"/>
  <c r="J201"/>
  <c r="K188"/>
  <c r="J149"/>
  <c r="J150" s="1"/>
  <c r="J151" s="1"/>
  <c r="L135" i="1"/>
  <c r="K211"/>
  <c r="K488" i="3" l="1"/>
  <c r="K489" s="1"/>
  <c r="K356"/>
  <c r="K147"/>
  <c r="K174"/>
  <c r="K137"/>
  <c r="K187"/>
  <c r="K189" s="1"/>
  <c r="K195" i="1"/>
  <c r="L145"/>
  <c r="J198" i="3"/>
  <c r="J501"/>
  <c r="J502" s="1"/>
  <c r="J457"/>
  <c r="J487"/>
  <c r="J325"/>
  <c r="L136" i="1"/>
  <c r="L172"/>
  <c r="L184"/>
  <c r="L186" s="1"/>
  <c r="J210" i="3"/>
  <c r="J214" s="1"/>
  <c r="J348"/>
  <c r="L187" i="1" l="1"/>
  <c r="L117" s="1"/>
  <c r="L118" s="1"/>
  <c r="L119" s="1"/>
  <c r="J445" i="3"/>
  <c r="J447" s="1"/>
  <c r="J450" s="1"/>
  <c r="J451" s="1"/>
  <c r="J367"/>
  <c r="J473" s="1"/>
  <c r="J477" s="1"/>
  <c r="K190"/>
  <c r="K118" s="1"/>
  <c r="K119" s="1"/>
  <c r="K120" s="1"/>
  <c r="K377"/>
  <c r="J202"/>
  <c r="J322"/>
  <c r="J326" s="1"/>
  <c r="J330" s="1"/>
  <c r="J331" s="1"/>
  <c r="J456"/>
  <c r="J486"/>
  <c r="J490" s="1"/>
  <c r="J491" s="1"/>
  <c r="J204"/>
  <c r="J215" s="1"/>
  <c r="K199" i="1"/>
  <c r="K201"/>
  <c r="K212" s="1"/>
  <c r="K338" i="3"/>
  <c r="K371" s="1"/>
  <c r="K475" s="1"/>
  <c r="K333"/>
  <c r="K357"/>
  <c r="K370" s="1"/>
  <c r="K369"/>
  <c r="K453" s="1"/>
  <c r="K454" s="1"/>
  <c r="K455" s="1"/>
  <c r="L188" i="1" l="1"/>
  <c r="L189" s="1"/>
  <c r="M140" s="1"/>
  <c r="M142" s="1"/>
  <c r="K191" i="3"/>
  <c r="K378" s="1"/>
  <c r="J430"/>
  <c r="J340"/>
  <c r="K129"/>
  <c r="K125"/>
  <c r="J481"/>
  <c r="L190" i="1"/>
  <c r="K432" i="3"/>
  <c r="K480" s="1"/>
  <c r="K312"/>
  <c r="L389" s="1"/>
  <c r="K339"/>
  <c r="K372" s="1"/>
  <c r="K476" s="1"/>
  <c r="L124" i="1"/>
  <c r="L128"/>
  <c r="L129" l="1"/>
  <c r="K193" i="3"/>
  <c r="K212" s="1"/>
  <c r="K192"/>
  <c r="L141" s="1"/>
  <c r="L143" s="1"/>
  <c r="L310" s="1"/>
  <c r="K336"/>
  <c r="K435" s="1"/>
  <c r="K439" s="1"/>
  <c r="K449" s="1"/>
  <c r="K130"/>
  <c r="L173" s="1"/>
  <c r="L206" i="1"/>
  <c r="M171"/>
  <c r="L173"/>
  <c r="J347" i="3"/>
  <c r="J342"/>
  <c r="L137" i="1"/>
  <c r="L146" s="1"/>
  <c r="M133"/>
  <c r="L204"/>
  <c r="L205" s="1"/>
  <c r="L166"/>
  <c r="L209"/>
  <c r="L134" i="3"/>
  <c r="K207"/>
  <c r="K208" s="1"/>
  <c r="K168"/>
  <c r="K209" l="1"/>
  <c r="K348" s="1"/>
  <c r="K345"/>
  <c r="K442" s="1"/>
  <c r="K138"/>
  <c r="K144" s="1"/>
  <c r="K148" s="1"/>
  <c r="K176"/>
  <c r="L172" s="1"/>
  <c r="M144" i="1"/>
  <c r="M185"/>
  <c r="L198"/>
  <c r="L147"/>
  <c r="L148" s="1"/>
  <c r="L149" s="1"/>
  <c r="M169"/>
  <c r="M170"/>
  <c r="L165" i="3"/>
  <c r="L166"/>
  <c r="M163" i="1"/>
  <c r="M164"/>
  <c r="J358" i="3"/>
  <c r="J350"/>
  <c r="L351"/>
  <c r="L374" s="1"/>
  <c r="R389"/>
  <c r="L136"/>
  <c r="M135" i="1"/>
  <c r="L207"/>
  <c r="L211" s="1"/>
  <c r="K210" i="3" l="1"/>
  <c r="K214" s="1"/>
  <c r="L171"/>
  <c r="K309"/>
  <c r="M389" s="1"/>
  <c r="T389" s="1"/>
  <c r="M165" i="1"/>
  <c r="M134"/>
  <c r="M172"/>
  <c r="M136"/>
  <c r="M184"/>
  <c r="K445" i="3"/>
  <c r="K447" s="1"/>
  <c r="K367"/>
  <c r="K473" s="1"/>
  <c r="K477" s="1"/>
  <c r="L174"/>
  <c r="L137"/>
  <c r="L187"/>
  <c r="M145" i="1"/>
  <c r="J366" i="3"/>
  <c r="J373" s="1"/>
  <c r="J478" s="1"/>
  <c r="J484" s="1"/>
  <c r="J360"/>
  <c r="L146"/>
  <c r="K201"/>
  <c r="L188"/>
  <c r="K149"/>
  <c r="K150" s="1"/>
  <c r="K151" s="1"/>
  <c r="L135"/>
  <c r="L167"/>
  <c r="L195" i="1"/>
  <c r="M186"/>
  <c r="K450" i="3" l="1"/>
  <c r="K451" s="1"/>
  <c r="K311"/>
  <c r="K313" s="1"/>
  <c r="K343" s="1"/>
  <c r="K440" s="1"/>
  <c r="K467" s="1"/>
  <c r="K483" s="1"/>
  <c r="M187" i="1"/>
  <c r="M117" s="1"/>
  <c r="M118" s="1"/>
  <c r="M119" s="1"/>
  <c r="L199"/>
  <c r="L201"/>
  <c r="L212" s="1"/>
  <c r="L488" i="3"/>
  <c r="L489" s="1"/>
  <c r="L356"/>
  <c r="L189"/>
  <c r="L147"/>
  <c r="L333"/>
  <c r="L338"/>
  <c r="L371" s="1"/>
  <c r="L475" s="1"/>
  <c r="K198"/>
  <c r="K325"/>
  <c r="K501"/>
  <c r="K502" s="1"/>
  <c r="K487"/>
  <c r="K481"/>
  <c r="K495" l="1"/>
  <c r="L339"/>
  <c r="L372" s="1"/>
  <c r="L476" s="1"/>
  <c r="L432"/>
  <c r="L480" s="1"/>
  <c r="L312"/>
  <c r="P389" s="1"/>
  <c r="L190"/>
  <c r="L118" s="1"/>
  <c r="L119" s="1"/>
  <c r="L120" s="1"/>
  <c r="L377"/>
  <c r="M124" i="1"/>
  <c r="M128"/>
  <c r="K322" i="3"/>
  <c r="K326" s="1"/>
  <c r="K330" s="1"/>
  <c r="K331" s="1"/>
  <c r="K486"/>
  <c r="K490" s="1"/>
  <c r="K491" s="1"/>
  <c r="K202"/>
  <c r="K456"/>
  <c r="K204"/>
  <c r="K215" s="1"/>
  <c r="L369"/>
  <c r="L453" s="1"/>
  <c r="L454" s="1"/>
  <c r="L455" s="1"/>
  <c r="L357"/>
  <c r="L370" s="1"/>
  <c r="M188" i="1"/>
  <c r="L191" i="3" l="1"/>
  <c r="L192" s="1"/>
  <c r="M141" s="1"/>
  <c r="M143" s="1"/>
  <c r="N133" i="1"/>
  <c r="M204"/>
  <c r="M205" s="1"/>
  <c r="M166"/>
  <c r="M189"/>
  <c r="N140" s="1"/>
  <c r="N142" s="1"/>
  <c r="M190"/>
  <c r="K340" i="3"/>
  <c r="K430"/>
  <c r="L125"/>
  <c r="L129"/>
  <c r="M129" i="1"/>
  <c r="L193" i="3" l="1"/>
  <c r="L212" s="1"/>
  <c r="L378"/>
  <c r="L336"/>
  <c r="L435" s="1"/>
  <c r="L439" s="1"/>
  <c r="L449" s="1"/>
  <c r="M206" i="1"/>
  <c r="M207" s="1"/>
  <c r="N171"/>
  <c r="N135" s="1"/>
  <c r="M173"/>
  <c r="M134" i="3"/>
  <c r="L207"/>
  <c r="L208" s="1"/>
  <c r="L168"/>
  <c r="M209" i="1"/>
  <c r="L345" i="3"/>
  <c r="M310"/>
  <c r="J389"/>
  <c r="L130"/>
  <c r="K347"/>
  <c r="K342"/>
  <c r="N164" i="1"/>
  <c r="N163"/>
  <c r="M137"/>
  <c r="M146" s="1"/>
  <c r="M211" l="1"/>
  <c r="L175" i="3"/>
  <c r="L176" s="1"/>
  <c r="L209"/>
  <c r="M173"/>
  <c r="L442"/>
  <c r="M165"/>
  <c r="M166"/>
  <c r="N169" i="1"/>
  <c r="N170"/>
  <c r="N185"/>
  <c r="N144"/>
  <c r="M198"/>
  <c r="M147"/>
  <c r="M148" s="1"/>
  <c r="M149" s="1"/>
  <c r="N165"/>
  <c r="N134"/>
  <c r="K358" i="3"/>
  <c r="K350"/>
  <c r="M351"/>
  <c r="M374" s="1"/>
  <c r="L138"/>
  <c r="L309" l="1"/>
  <c r="L144"/>
  <c r="L148" s="1"/>
  <c r="K366"/>
  <c r="K373" s="1"/>
  <c r="K478" s="1"/>
  <c r="K484" s="1"/>
  <c r="K360"/>
  <c r="K389" s="1"/>
  <c r="S389" s="1"/>
  <c r="M136"/>
  <c r="M171"/>
  <c r="M172"/>
  <c r="M195" i="1"/>
  <c r="N145"/>
  <c r="N136"/>
  <c r="N172"/>
  <c r="N184"/>
  <c r="N186" s="1"/>
  <c r="M167" i="3"/>
  <c r="M135"/>
  <c r="L210"/>
  <c r="L214" s="1"/>
  <c r="L348"/>
  <c r="M174" l="1"/>
  <c r="M137"/>
  <c r="M187"/>
  <c r="M146"/>
  <c r="L201"/>
  <c r="M188"/>
  <c r="L149"/>
  <c r="L150" s="1"/>
  <c r="L151" s="1"/>
  <c r="N187" i="1"/>
  <c r="N117" s="1"/>
  <c r="N118" s="1"/>
  <c r="N119" s="1"/>
  <c r="L367" i="3"/>
  <c r="L473" s="1"/>
  <c r="L477" s="1"/>
  <c r="L445"/>
  <c r="L447" s="1"/>
  <c r="L450" s="1"/>
  <c r="L451" s="1"/>
  <c r="M199" i="1"/>
  <c r="M201"/>
  <c r="M212" s="1"/>
  <c r="Q389" i="3"/>
  <c r="V389" s="1"/>
  <c r="L311"/>
  <c r="L313" s="1"/>
  <c r="L481" l="1"/>
  <c r="N124" i="1"/>
  <c r="N128"/>
  <c r="M488" i="3"/>
  <c r="M489" s="1"/>
  <c r="M356"/>
  <c r="M189"/>
  <c r="M147"/>
  <c r="O389"/>
  <c r="L343"/>
  <c r="L440" s="1"/>
  <c r="L467" s="1"/>
  <c r="L198"/>
  <c r="L487"/>
  <c r="L325"/>
  <c r="L501"/>
  <c r="L502" s="1"/>
  <c r="M333"/>
  <c r="M338"/>
  <c r="M371" s="1"/>
  <c r="M475" s="1"/>
  <c r="N188" i="1"/>
  <c r="L495" i="3" l="1"/>
  <c r="L483"/>
  <c r="M357"/>
  <c r="M370" s="1"/>
  <c r="M369"/>
  <c r="M453" s="1"/>
  <c r="M454" s="1"/>
  <c r="M455" s="1"/>
  <c r="N204" i="1"/>
  <c r="N205" s="1"/>
  <c r="N166"/>
  <c r="N189"/>
  <c r="N190"/>
  <c r="N209" s="1"/>
  <c r="M432" i="3"/>
  <c r="M480" s="1"/>
  <c r="M312"/>
  <c r="M339"/>
  <c r="M372" s="1"/>
  <c r="M476" s="1"/>
  <c r="L456"/>
  <c r="L486"/>
  <c r="L490" s="1"/>
  <c r="L322"/>
  <c r="L326" s="1"/>
  <c r="L330" s="1"/>
  <c r="L331" s="1"/>
  <c r="L202"/>
  <c r="L204"/>
  <c r="L215" s="1"/>
  <c r="U389"/>
  <c r="I403"/>
  <c r="M190"/>
  <c r="M118" s="1"/>
  <c r="M119" s="1"/>
  <c r="M120" s="1"/>
  <c r="M377"/>
  <c r="N129" i="1"/>
  <c r="M191" i="3" l="1"/>
  <c r="M336" s="1"/>
  <c r="N206" i="1"/>
  <c r="N207" s="1"/>
  <c r="N211" s="1"/>
  <c r="N173"/>
  <c r="M125" i="3"/>
  <c r="M129"/>
  <c r="N137" i="1"/>
  <c r="N146" s="1"/>
  <c r="L491" i="3"/>
  <c r="L340"/>
  <c r="L430"/>
  <c r="M193" l="1"/>
  <c r="M212" s="1"/>
  <c r="M192"/>
  <c r="N141" s="1"/>
  <c r="N143" s="1"/>
  <c r="N310" s="1"/>
  <c r="M378"/>
  <c r="N198" i="1"/>
  <c r="N147"/>
  <c r="N148" s="1"/>
  <c r="N149" s="1"/>
  <c r="N195" s="1"/>
  <c r="N134" i="3"/>
  <c r="M207"/>
  <c r="M208" s="1"/>
  <c r="M168"/>
  <c r="L347"/>
  <c r="L342"/>
  <c r="M435"/>
  <c r="M439" s="1"/>
  <c r="M449" s="1"/>
  <c r="M345"/>
  <c r="M130"/>
  <c r="M209" l="1"/>
  <c r="N173"/>
  <c r="N136" s="1"/>
  <c r="M176"/>
  <c r="M442"/>
  <c r="L358"/>
  <c r="L350"/>
  <c r="N351"/>
  <c r="N374" s="1"/>
  <c r="N199" i="1"/>
  <c r="N201"/>
  <c r="N212" s="1"/>
  <c r="N165" i="3"/>
  <c r="N166"/>
  <c r="M138"/>
  <c r="M309" l="1"/>
  <c r="M311" s="1"/>
  <c r="M313" s="1"/>
  <c r="M343" s="1"/>
  <c r="M440" s="1"/>
  <c r="M467" s="1"/>
  <c r="M144"/>
  <c r="M148" s="1"/>
  <c r="N135"/>
  <c r="N167"/>
  <c r="N171"/>
  <c r="N172"/>
  <c r="M210"/>
  <c r="M214" s="1"/>
  <c r="M348"/>
  <c r="L366"/>
  <c r="L373" s="1"/>
  <c r="L478" s="1"/>
  <c r="L484" s="1"/>
  <c r="L360"/>
  <c r="M445" l="1"/>
  <c r="M447" s="1"/>
  <c r="M450" s="1"/>
  <c r="M451" s="1"/>
  <c r="M367"/>
  <c r="M473" s="1"/>
  <c r="M477" s="1"/>
  <c r="N174"/>
  <c r="N137"/>
  <c r="N187"/>
  <c r="N146"/>
  <c r="M201"/>
  <c r="N188"/>
  <c r="M149"/>
  <c r="M150" s="1"/>
  <c r="M151" s="1"/>
  <c r="M495"/>
  <c r="M483"/>
  <c r="M198" l="1"/>
  <c r="N333"/>
  <c r="N338"/>
  <c r="N371" s="1"/>
  <c r="N475" s="1"/>
  <c r="N488"/>
  <c r="N489" s="1"/>
  <c r="N356"/>
  <c r="N189"/>
  <c r="N147"/>
  <c r="M481"/>
  <c r="M501"/>
  <c r="M502" s="1"/>
  <c r="M487"/>
  <c r="M325"/>
  <c r="N190" l="1"/>
  <c r="N118" s="1"/>
  <c r="N119" s="1"/>
  <c r="N120" s="1"/>
  <c r="N377"/>
  <c r="N383" s="1"/>
  <c r="O383" s="1"/>
  <c r="N312"/>
  <c r="N432"/>
  <c r="N480" s="1"/>
  <c r="N339"/>
  <c r="N372" s="1"/>
  <c r="N476" s="1"/>
  <c r="N357"/>
  <c r="N370" s="1"/>
  <c r="N369"/>
  <c r="N453" s="1"/>
  <c r="N454" s="1"/>
  <c r="N455" s="1"/>
  <c r="M322"/>
  <c r="M326" s="1"/>
  <c r="M330" s="1"/>
  <c r="M331" s="1"/>
  <c r="M486"/>
  <c r="M490" s="1"/>
  <c r="M491" s="1"/>
  <c r="M202"/>
  <c r="M456"/>
  <c r="M204"/>
  <c r="M215" s="1"/>
  <c r="N191" l="1"/>
  <c r="N336" s="1"/>
  <c r="M430"/>
  <c r="M340"/>
  <c r="N125"/>
  <c r="N129"/>
  <c r="N378" l="1"/>
  <c r="N384" s="1"/>
  <c r="O384" s="1"/>
  <c r="N193"/>
  <c r="N212" s="1"/>
  <c r="N192"/>
  <c r="N207"/>
  <c r="N208" s="1"/>
  <c r="N168"/>
  <c r="M347"/>
  <c r="M342"/>
  <c r="N345"/>
  <c r="N435"/>
  <c r="N439" s="1"/>
  <c r="N449" s="1"/>
  <c r="N130"/>
  <c r="N209" l="1"/>
  <c r="N176"/>
  <c r="N442"/>
  <c r="M358"/>
  <c r="M350"/>
  <c r="N138"/>
  <c r="N309" l="1"/>
  <c r="N311" s="1"/>
  <c r="N313" s="1"/>
  <c r="N343" s="1"/>
  <c r="N440" s="1"/>
  <c r="N467" s="1"/>
  <c r="N144"/>
  <c r="N148" s="1"/>
  <c r="M366"/>
  <c r="M373" s="1"/>
  <c r="M478" s="1"/>
  <c r="M484" s="1"/>
  <c r="M360"/>
  <c r="N210"/>
  <c r="N214" s="1"/>
  <c r="N348"/>
  <c r="N367" l="1"/>
  <c r="N473" s="1"/>
  <c r="N477" s="1"/>
  <c r="N445"/>
  <c r="N447" s="1"/>
  <c r="N450" s="1"/>
  <c r="N451" s="1"/>
  <c r="N201"/>
  <c r="N149"/>
  <c r="N150" s="1"/>
  <c r="N151" s="1"/>
  <c r="N198" s="1"/>
  <c r="N495"/>
  <c r="M499" s="1"/>
  <c r="N483"/>
  <c r="N456" l="1"/>
  <c r="N486"/>
  <c r="N202"/>
  <c r="N322"/>
  <c r="N204"/>
  <c r="N215" s="1"/>
  <c r="L499"/>
  <c r="M503"/>
  <c r="N487"/>
  <c r="N325"/>
  <c r="N481"/>
  <c r="N326" l="1"/>
  <c r="N330" s="1"/>
  <c r="N331" s="1"/>
  <c r="N430" s="1"/>
  <c r="L503"/>
  <c r="K499"/>
  <c r="N490"/>
  <c r="N491" s="1"/>
  <c r="N340" l="1"/>
  <c r="N347" s="1"/>
  <c r="J499"/>
  <c r="K503"/>
  <c r="N342" l="1"/>
  <c r="I499"/>
  <c r="I503" s="1"/>
  <c r="J503"/>
  <c r="N358"/>
  <c r="N350"/>
  <c r="N366" l="1"/>
  <c r="N373" s="1"/>
  <c r="N478" s="1"/>
  <c r="N484" s="1"/>
  <c r="N360"/>
  <c r="J179" i="2" l="1"/>
  <c r="J180" l="1"/>
  <c r="I284"/>
  <c r="I230"/>
  <c r="I319"/>
  <c r="I320" s="1"/>
  <c r="J153" l="1"/>
  <c r="J518"/>
  <c r="J519" s="1"/>
  <c r="J386"/>
  <c r="J195"/>
  <c r="I355"/>
  <c r="I531"/>
  <c r="I532" s="1"/>
  <c r="I294"/>
  <c r="J407" l="1"/>
  <c r="J196"/>
  <c r="J124" s="1"/>
  <c r="J125" s="1"/>
  <c r="J126" s="1"/>
  <c r="I352"/>
  <c r="I356" s="1"/>
  <c r="I360" s="1"/>
  <c r="I246"/>
  <c r="I247" s="1"/>
  <c r="J247" s="1"/>
  <c r="J35" s="1"/>
  <c r="J399"/>
  <c r="J483" s="1"/>
  <c r="J484" s="1"/>
  <c r="J485" s="1"/>
  <c r="J387"/>
  <c r="J400" s="1"/>
  <c r="J64" l="1"/>
  <c r="J135" s="1"/>
  <c r="K35"/>
  <c r="J197"/>
  <c r="J131"/>
  <c r="J146" l="1"/>
  <c r="J136"/>
  <c r="K140"/>
  <c r="J174"/>
  <c r="J221"/>
  <c r="J408"/>
  <c r="J366"/>
  <c r="J198"/>
  <c r="K147" s="1"/>
  <c r="L35"/>
  <c r="K64"/>
  <c r="L64" l="1"/>
  <c r="M35"/>
  <c r="J465"/>
  <c r="J469" s="1"/>
  <c r="J479" s="1"/>
  <c r="J375"/>
  <c r="K171"/>
  <c r="J215"/>
  <c r="K172"/>
  <c r="K199"/>
  <c r="K220" l="1"/>
  <c r="J216"/>
  <c r="N35"/>
  <c r="N64" s="1"/>
  <c r="M64"/>
  <c r="J472"/>
  <c r="K173"/>
  <c r="K141"/>
  <c r="K179"/>
  <c r="K142" s="1"/>
  <c r="J144"/>
  <c r="J339" s="1"/>
  <c r="J181"/>
  <c r="J182" s="1"/>
  <c r="K178" l="1"/>
  <c r="J217"/>
  <c r="K177"/>
  <c r="J378" l="1"/>
  <c r="J218"/>
  <c r="K143"/>
  <c r="K193"/>
  <c r="K180"/>
  <c r="K363" l="1"/>
  <c r="K368"/>
  <c r="K401" s="1"/>
  <c r="K505" s="1"/>
  <c r="J397"/>
  <c r="J503" s="1"/>
  <c r="J507" s="1"/>
  <c r="J475"/>
  <c r="J477" s="1"/>
  <c r="J480" s="1"/>
  <c r="J481" s="1"/>
  <c r="J511" l="1"/>
  <c r="K369"/>
  <c r="K402" s="1"/>
  <c r="K506" s="1"/>
  <c r="K462"/>
  <c r="K510" s="1"/>
  <c r="K342"/>
  <c r="L419" s="1"/>
  <c r="J219"/>
  <c r="J223" s="1"/>
  <c r="J149"/>
  <c r="J340" s="1"/>
  <c r="J150" l="1"/>
  <c r="J381"/>
  <c r="J404" s="1"/>
  <c r="J341"/>
  <c r="J343" s="1"/>
  <c r="J373" s="1"/>
  <c r="J470" s="1"/>
  <c r="J497" s="1"/>
  <c r="J154" l="1"/>
  <c r="J207" s="1"/>
  <c r="J513"/>
  <c r="J525"/>
  <c r="K194" l="1"/>
  <c r="K386" s="1"/>
  <c r="K387" s="1"/>
  <c r="K400" s="1"/>
  <c r="J517"/>
  <c r="J531"/>
  <c r="J532" s="1"/>
  <c r="J487"/>
  <c r="J355"/>
  <c r="K152"/>
  <c r="K153" s="1"/>
  <c r="J155"/>
  <c r="J156" s="1"/>
  <c r="J157" s="1"/>
  <c r="K399" l="1"/>
  <c r="K483" s="1"/>
  <c r="K484" s="1"/>
  <c r="K485" s="1"/>
  <c r="K195"/>
  <c r="K407" s="1"/>
  <c r="K518"/>
  <c r="K519" s="1"/>
  <c r="J204"/>
  <c r="K196" l="1"/>
  <c r="K124" s="1"/>
  <c r="K125" s="1"/>
  <c r="K126" s="1"/>
  <c r="K135" s="1"/>
  <c r="J212"/>
  <c r="J224" s="1"/>
  <c r="J352"/>
  <c r="J356" s="1"/>
  <c r="J360" s="1"/>
  <c r="J361" s="1"/>
  <c r="J516"/>
  <c r="J520" s="1"/>
  <c r="J521" s="1"/>
  <c r="J486"/>
  <c r="J208"/>
  <c r="K215" l="1"/>
  <c r="K216" s="1"/>
  <c r="K131"/>
  <c r="K197"/>
  <c r="K221" s="1"/>
  <c r="J460"/>
  <c r="J370"/>
  <c r="L140" l="1"/>
  <c r="K174"/>
  <c r="L172" s="1"/>
  <c r="K136"/>
  <c r="K181" s="1"/>
  <c r="K182" s="1"/>
  <c r="L178" s="1"/>
  <c r="L143" s="1"/>
  <c r="K146"/>
  <c r="L177"/>
  <c r="K366"/>
  <c r="K465" s="1"/>
  <c r="K469" s="1"/>
  <c r="K479" s="1"/>
  <c r="L179"/>
  <c r="L142" s="1"/>
  <c r="K198"/>
  <c r="L147" s="1"/>
  <c r="K408"/>
  <c r="J372"/>
  <c r="J377"/>
  <c r="K375" l="1"/>
  <c r="K472" s="1"/>
  <c r="L171"/>
  <c r="L173" s="1"/>
  <c r="K217"/>
  <c r="K378" s="1"/>
  <c r="K475" s="1"/>
  <c r="K477" s="1"/>
  <c r="K144"/>
  <c r="K339" s="1"/>
  <c r="M419" s="1"/>
  <c r="L199"/>
  <c r="L220" s="1"/>
  <c r="L193"/>
  <c r="L363" s="1"/>
  <c r="L180"/>
  <c r="L141"/>
  <c r="J380"/>
  <c r="J388"/>
  <c r="K397" l="1"/>
  <c r="K503" s="1"/>
  <c r="K507" s="1"/>
  <c r="K511" s="1"/>
  <c r="K218"/>
  <c r="K480"/>
  <c r="K481" s="1"/>
  <c r="L368"/>
  <c r="L401" s="1"/>
  <c r="L505" s="1"/>
  <c r="J396"/>
  <c r="J403" s="1"/>
  <c r="J508" s="1"/>
  <c r="J514" s="1"/>
  <c r="J390"/>
  <c r="L342"/>
  <c r="P419" s="1"/>
  <c r="L462"/>
  <c r="L510" s="1"/>
  <c r="L369"/>
  <c r="L402" s="1"/>
  <c r="L506" s="1"/>
  <c r="K219"/>
  <c r="K223" s="1"/>
  <c r="K149"/>
  <c r="K340" s="1"/>
  <c r="K150" l="1"/>
  <c r="K154" s="1"/>
  <c r="L194" s="1"/>
  <c r="K381"/>
  <c r="K404" s="1"/>
  <c r="N419"/>
  <c r="T419" s="1"/>
  <c r="K341"/>
  <c r="K343" s="1"/>
  <c r="K373" s="1"/>
  <c r="K470" s="1"/>
  <c r="K497" s="1"/>
  <c r="K207" l="1"/>
  <c r="K355" s="1"/>
  <c r="K155"/>
  <c r="K156" s="1"/>
  <c r="K157" s="1"/>
  <c r="L152"/>
  <c r="L153" s="1"/>
  <c r="K513"/>
  <c r="K525"/>
  <c r="L518"/>
  <c r="L519" s="1"/>
  <c r="L386"/>
  <c r="L195"/>
  <c r="K204" l="1"/>
  <c r="K486" s="1"/>
  <c r="K531"/>
  <c r="K532" s="1"/>
  <c r="K517"/>
  <c r="L196"/>
  <c r="L124" s="1"/>
  <c r="L125" s="1"/>
  <c r="L126" s="1"/>
  <c r="L135" s="1"/>
  <c r="L407"/>
  <c r="L399"/>
  <c r="L483" s="1"/>
  <c r="L484" s="1"/>
  <c r="L485" s="1"/>
  <c r="L387"/>
  <c r="L400" s="1"/>
  <c r="K352" l="1"/>
  <c r="K356" s="1"/>
  <c r="K360" s="1"/>
  <c r="K361" s="1"/>
  <c r="K460" s="1"/>
  <c r="K212"/>
  <c r="K224" s="1"/>
  <c r="K516"/>
  <c r="K208"/>
  <c r="K520"/>
  <c r="K521" s="1"/>
  <c r="L197"/>
  <c r="L131"/>
  <c r="K370" l="1"/>
  <c r="K377" s="1"/>
  <c r="L174"/>
  <c r="M140"/>
  <c r="L215"/>
  <c r="K372"/>
  <c r="J419"/>
  <c r="L146"/>
  <c r="L136"/>
  <c r="L144" s="1"/>
  <c r="L339" s="1"/>
  <c r="Q419" s="1"/>
  <c r="L408"/>
  <c r="L366"/>
  <c r="L221"/>
  <c r="L198"/>
  <c r="M147" s="1"/>
  <c r="M199" l="1"/>
  <c r="M220" s="1"/>
  <c r="L465"/>
  <c r="L469" s="1"/>
  <c r="L479" s="1"/>
  <c r="L375"/>
  <c r="L149"/>
  <c r="L219"/>
  <c r="K380"/>
  <c r="K388"/>
  <c r="M172"/>
  <c r="M171"/>
  <c r="M179"/>
  <c r="L181"/>
  <c r="L182" s="1"/>
  <c r="L217"/>
  <c r="L216"/>
  <c r="K396" l="1"/>
  <c r="K403" s="1"/>
  <c r="K508" s="1"/>
  <c r="K514" s="1"/>
  <c r="K390"/>
  <c r="K419" s="1"/>
  <c r="S419" s="1"/>
  <c r="L378"/>
  <c r="L218"/>
  <c r="L223" s="1"/>
  <c r="M178"/>
  <c r="M177"/>
  <c r="M142"/>
  <c r="M173"/>
  <c r="M141"/>
  <c r="L150"/>
  <c r="L154" s="1"/>
  <c r="L340"/>
  <c r="L472"/>
  <c r="M152" l="1"/>
  <c r="M194"/>
  <c r="L207"/>
  <c r="L155"/>
  <c r="L156" s="1"/>
  <c r="L157" s="1"/>
  <c r="M143"/>
  <c r="M180"/>
  <c r="M193"/>
  <c r="R419"/>
  <c r="V419" s="1"/>
  <c r="L381"/>
  <c r="L404" s="1"/>
  <c r="L341"/>
  <c r="L343" s="1"/>
  <c r="L475"/>
  <c r="L477" s="1"/>
  <c r="L480" s="1"/>
  <c r="L481" s="1"/>
  <c r="L397"/>
  <c r="L503" s="1"/>
  <c r="L507" s="1"/>
  <c r="M368" l="1"/>
  <c r="M401" s="1"/>
  <c r="M505" s="1"/>
  <c r="M363"/>
  <c r="O419"/>
  <c r="L373"/>
  <c r="L470" s="1"/>
  <c r="L497" s="1"/>
  <c r="L204"/>
  <c r="L355"/>
  <c r="L531"/>
  <c r="L532" s="1"/>
  <c r="L517"/>
  <c r="M195"/>
  <c r="M518"/>
  <c r="M519" s="1"/>
  <c r="M386"/>
  <c r="L511"/>
  <c r="M153"/>
  <c r="M387" l="1"/>
  <c r="M400" s="1"/>
  <c r="M399"/>
  <c r="M483" s="1"/>
  <c r="M484" s="1"/>
  <c r="M485" s="1"/>
  <c r="M407"/>
  <c r="M196"/>
  <c r="M124" s="1"/>
  <c r="M125" s="1"/>
  <c r="M126" s="1"/>
  <c r="M135" s="1"/>
  <c r="L513"/>
  <c r="L525"/>
  <c r="M342"/>
  <c r="M369"/>
  <c r="M402" s="1"/>
  <c r="M506" s="1"/>
  <c r="M462"/>
  <c r="M510" s="1"/>
  <c r="I433"/>
  <c r="U419"/>
  <c r="L486"/>
  <c r="L352"/>
  <c r="L356" s="1"/>
  <c r="L360" s="1"/>
  <c r="L361" s="1"/>
  <c r="L212"/>
  <c r="L224" s="1"/>
  <c r="L208"/>
  <c r="L516"/>
  <c r="L520" s="1"/>
  <c r="L521" l="1"/>
  <c r="L460"/>
  <c r="L370"/>
  <c r="M197"/>
  <c r="M131"/>
  <c r="M146" l="1"/>
  <c r="M136"/>
  <c r="M144" s="1"/>
  <c r="M339" s="1"/>
  <c r="L377"/>
  <c r="L372"/>
  <c r="N140"/>
  <c r="M215"/>
  <c r="M174"/>
  <c r="M221"/>
  <c r="M366"/>
  <c r="M408"/>
  <c r="M198"/>
  <c r="N147" s="1"/>
  <c r="N172" l="1"/>
  <c r="N171"/>
  <c r="M216"/>
  <c r="L388"/>
  <c r="L380"/>
  <c r="M149"/>
  <c r="M219"/>
  <c r="N199"/>
  <c r="N220" s="1"/>
  <c r="M465"/>
  <c r="M469" s="1"/>
  <c r="M479" s="1"/>
  <c r="M375"/>
  <c r="M181"/>
  <c r="M182" s="1"/>
  <c r="M217"/>
  <c r="N179"/>
  <c r="N142" s="1"/>
  <c r="M218" l="1"/>
  <c r="M223" s="1"/>
  <c r="M378"/>
  <c r="N177"/>
  <c r="N178"/>
  <c r="N141"/>
  <c r="N173"/>
  <c r="M472"/>
  <c r="M150"/>
  <c r="M154" s="1"/>
  <c r="M340"/>
  <c r="L396"/>
  <c r="L403" s="1"/>
  <c r="L508" s="1"/>
  <c r="L514" s="1"/>
  <c r="L390"/>
  <c r="N152" l="1"/>
  <c r="N194"/>
  <c r="M207"/>
  <c r="M155"/>
  <c r="M156" s="1"/>
  <c r="M157" s="1"/>
  <c r="N143"/>
  <c r="N180"/>
  <c r="N193"/>
  <c r="M475"/>
  <c r="M477" s="1"/>
  <c r="M480" s="1"/>
  <c r="M481" s="1"/>
  <c r="M397"/>
  <c r="M503" s="1"/>
  <c r="M507" s="1"/>
  <c r="M381"/>
  <c r="M404" s="1"/>
  <c r="M341"/>
  <c r="M343" s="1"/>
  <c r="M373" s="1"/>
  <c r="M470" s="1"/>
  <c r="M497" s="1"/>
  <c r="M513" l="1"/>
  <c r="M525"/>
  <c r="M511"/>
  <c r="N363"/>
  <c r="N368"/>
  <c r="N401" s="1"/>
  <c r="N505" s="1"/>
  <c r="M355"/>
  <c r="M517"/>
  <c r="M531"/>
  <c r="M532" s="1"/>
  <c r="N195"/>
  <c r="N386"/>
  <c r="N518"/>
  <c r="N519" s="1"/>
  <c r="M204"/>
  <c r="N153"/>
  <c r="N407" l="1"/>
  <c r="N413" s="1"/>
  <c r="O413" s="1"/>
  <c r="N196"/>
  <c r="N124" s="1"/>
  <c r="N125" s="1"/>
  <c r="N126" s="1"/>
  <c r="N135" s="1"/>
  <c r="M212"/>
  <c r="M224" s="1"/>
  <c r="M486"/>
  <c r="M208"/>
  <c r="M516"/>
  <c r="M520" s="1"/>
  <c r="M521" s="1"/>
  <c r="M352"/>
  <c r="M356" s="1"/>
  <c r="M360" s="1"/>
  <c r="M361" s="1"/>
  <c r="N399"/>
  <c r="N483" s="1"/>
  <c r="N484" s="1"/>
  <c r="N485" s="1"/>
  <c r="N387"/>
  <c r="N400" s="1"/>
  <c r="N369"/>
  <c r="N402" s="1"/>
  <c r="N506" s="1"/>
  <c r="N342"/>
  <c r="N462"/>
  <c r="N510" s="1"/>
  <c r="M460" l="1"/>
  <c r="M370"/>
  <c r="N131"/>
  <c r="N197"/>
  <c r="N408" l="1"/>
  <c r="N414" s="1"/>
  <c r="O414" s="1"/>
  <c r="N198"/>
  <c r="N221"/>
  <c r="N366"/>
  <c r="N215"/>
  <c r="N174"/>
  <c r="M377"/>
  <c r="M372"/>
  <c r="N146"/>
  <c r="N136"/>
  <c r="N181" l="1"/>
  <c r="N217"/>
  <c r="N182"/>
  <c r="N465"/>
  <c r="N469" s="1"/>
  <c r="N479" s="1"/>
  <c r="N375"/>
  <c r="N149"/>
  <c r="N219"/>
  <c r="M388"/>
  <c r="M380"/>
  <c r="N216"/>
  <c r="N144"/>
  <c r="N339" s="1"/>
  <c r="N472" l="1"/>
  <c r="N218"/>
  <c r="N223" s="1"/>
  <c r="N378"/>
  <c r="M396"/>
  <c r="M403" s="1"/>
  <c r="M508" s="1"/>
  <c r="M514" s="1"/>
  <c r="M390"/>
  <c r="N150"/>
  <c r="N154" s="1"/>
  <c r="N340"/>
  <c r="N207" l="1"/>
  <c r="N155"/>
  <c r="N156" s="1"/>
  <c r="N157" s="1"/>
  <c r="N204" s="1"/>
  <c r="N381"/>
  <c r="N404" s="1"/>
  <c r="N341"/>
  <c r="N343" s="1"/>
  <c r="N373" s="1"/>
  <c r="N470" s="1"/>
  <c r="N497" s="1"/>
  <c r="N397"/>
  <c r="N503" s="1"/>
  <c r="N507" s="1"/>
  <c r="N475"/>
  <c r="N477" s="1"/>
  <c r="N480" s="1"/>
  <c r="N481" s="1"/>
  <c r="N517" l="1"/>
  <c r="N355"/>
  <c r="N513"/>
  <c r="N525"/>
  <c r="M529" s="1"/>
  <c r="N486"/>
  <c r="N212"/>
  <c r="N224" s="1"/>
  <c r="N352"/>
  <c r="N208"/>
  <c r="N516"/>
  <c r="N520" s="1"/>
  <c r="N511"/>
  <c r="N521" l="1"/>
  <c r="N356"/>
  <c r="N360" s="1"/>
  <c r="N361" s="1"/>
  <c r="N370" s="1"/>
  <c r="L529"/>
  <c r="M533"/>
  <c r="N460" l="1"/>
  <c r="L533"/>
  <c r="K529"/>
  <c r="N377"/>
  <c r="N372"/>
  <c r="N388" l="1"/>
  <c r="N380"/>
  <c r="J529"/>
  <c r="K533"/>
  <c r="I529" l="1"/>
  <c r="I533" s="1"/>
  <c r="J533"/>
  <c r="N396"/>
  <c r="N403" s="1"/>
  <c r="N508" s="1"/>
  <c r="N514" s="1"/>
  <c r="N390"/>
</calcChain>
</file>

<file path=xl/sharedStrings.xml><?xml version="1.0" encoding="utf-8"?>
<sst xmlns="http://schemas.openxmlformats.org/spreadsheetml/2006/main" count="1200" uniqueCount="448">
  <si>
    <t>Total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</si>
  <si>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</si>
  <si>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</si>
  <si>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</si>
  <si>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</si>
  <si>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</si>
  <si>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</si>
  <si>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</si>
  <si>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</si>
  <si>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</si>
  <si>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</si>
  <si>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</si>
  <si>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C</t>
  </si>
  <si>
    <t>Lineal Depreciation (4 years)</t>
  </si>
  <si>
    <t>Initial inventory (units)</t>
  </si>
  <si>
    <t>Factor for increase in prices for fixed assets</t>
  </si>
  <si>
    <t>Price of asset in year 4</t>
  </si>
  <si>
    <t>Return of short term investment</t>
  </si>
  <si>
    <t>Cost of debt, Kd, from CAPM= Rf+risk premium in cost of debt</t>
  </si>
  <si>
    <t>Risk free rate, Rf</t>
  </si>
  <si>
    <t>Depreciation schedule</t>
  </si>
  <si>
    <t>Beginning fixed assets</t>
  </si>
  <si>
    <t>Annual depreciation</t>
  </si>
  <si>
    <t>Cumulated depreciation</t>
  </si>
  <si>
    <t>New fixed assets</t>
  </si>
  <si>
    <t>Net fixed assets</t>
  </si>
  <si>
    <t>Inventory and purchases in units</t>
  </si>
  <si>
    <t>Units sold</t>
  </si>
  <si>
    <t>Final inventory in units</t>
  </si>
  <si>
    <t>Initial inventory in units</t>
  </si>
  <si>
    <t>Purchases in units</t>
  </si>
  <si>
    <t>Unitary cost of purchase</t>
  </si>
  <si>
    <t>Forecasted unit cost</t>
  </si>
  <si>
    <t>Cost of goods sold (COGS) calculation</t>
  </si>
  <si>
    <t>Purchases in dollars</t>
  </si>
  <si>
    <t>Final inventory in dollars</t>
  </si>
  <si>
    <t>Initial inventory in dollars</t>
  </si>
  <si>
    <t>COGS</t>
  </si>
  <si>
    <t>Administrative and selling expenses</t>
  </si>
  <si>
    <t>Sales commisions</t>
  </si>
  <si>
    <t>Sales and purchases</t>
  </si>
  <si>
    <t>Total sales revenues</t>
  </si>
  <si>
    <t>Inflow of sales revenues for current year</t>
  </si>
  <si>
    <t>Credit sales (1 year)</t>
  </si>
  <si>
    <t>Total purchases</t>
  </si>
  <si>
    <t>Purchases paid the same year</t>
  </si>
  <si>
    <t>Purchases on credit (1 year)</t>
  </si>
  <si>
    <t>Inflows from sales</t>
  </si>
  <si>
    <t>Inflows from Accounts Receivables</t>
  </si>
  <si>
    <t>Total inflows</t>
  </si>
  <si>
    <t>Purchases paid the current year</t>
  </si>
  <si>
    <t>Payment of Accounts Payable</t>
  </si>
  <si>
    <t>Total payments for purchases</t>
  </si>
  <si>
    <t>LT Loan 1 schedule</t>
  </si>
  <si>
    <t>Beginning balance</t>
  </si>
  <si>
    <t>Interest payment LT1</t>
  </si>
  <si>
    <t>Total payment LT1</t>
  </si>
  <si>
    <t>Ending balance</t>
  </si>
  <si>
    <t>Interest rate</t>
  </si>
  <si>
    <t>ST Loan 2 schedule</t>
  </si>
  <si>
    <t>Interest payment ST2</t>
  </si>
  <si>
    <t>Total payment ST2</t>
  </si>
  <si>
    <t>Interest payment LT3</t>
  </si>
  <si>
    <t>Total payment LT 3</t>
  </si>
  <si>
    <t>Sales revenues</t>
  </si>
  <si>
    <t>Gross Income</t>
  </si>
  <si>
    <t>Earnings Before Interest and Taxes (EBIT)</t>
  </si>
  <si>
    <t>Inventory valuation using FIFO</t>
  </si>
  <si>
    <t>Depreciation</t>
  </si>
  <si>
    <t>Principal payments LT 3</t>
  </si>
  <si>
    <t>Year</t>
  </si>
  <si>
    <t>CB</t>
  </si>
  <si>
    <t>IT</t>
  </si>
  <si>
    <t>ID</t>
  </si>
  <si>
    <t>IS</t>
  </si>
  <si>
    <t>Check</t>
  </si>
  <si>
    <t>FCD</t>
  </si>
  <si>
    <t>ingreso de préstamos</t>
  </si>
  <si>
    <t>Pago de capital</t>
  </si>
  <si>
    <t>Pago de intereses</t>
  </si>
  <si>
    <t>FCA</t>
  </si>
  <si>
    <t>Aportes de patrimonio</t>
  </si>
  <si>
    <t>Pago de utilidades o dividendos</t>
  </si>
  <si>
    <t>Recompra de acciones</t>
  </si>
  <si>
    <t>FCC</t>
  </si>
  <si>
    <t>AI</t>
  </si>
  <si>
    <t>FCL</t>
  </si>
  <si>
    <t>Cap trabajo</t>
  </si>
  <si>
    <t xml:space="preserve">Activo corriente </t>
  </si>
  <si>
    <t>Pasivos corrientes menos deuda financiera</t>
  </si>
  <si>
    <t>CT</t>
  </si>
  <si>
    <t>cambio CT</t>
  </si>
  <si>
    <t>inversion en activos</t>
  </si>
  <si>
    <t>AF netos</t>
  </si>
  <si>
    <t>Depreciación</t>
  </si>
  <si>
    <t>FCL indir</t>
  </si>
  <si>
    <t>UO</t>
  </si>
  <si>
    <t>menos Impuesto UO</t>
  </si>
  <si>
    <t>UODI</t>
  </si>
  <si>
    <t>más depreciación</t>
  </si>
  <si>
    <t>menos cambio en CT</t>
  </si>
  <si>
    <t>menos inversion en activos</t>
  </si>
  <si>
    <t>Intereses</t>
  </si>
  <si>
    <t>menos imp sobre intereses</t>
  </si>
  <si>
    <t>FCA indirecto</t>
  </si>
  <si>
    <t>UN</t>
  </si>
  <si>
    <t>mas dep</t>
  </si>
  <si>
    <t>menso VCT</t>
  </si>
  <si>
    <t xml:space="preserve">  menos pago (ing) prest</t>
  </si>
  <si>
    <t>menos inv act</t>
  </si>
  <si>
    <t>mas VT</t>
  </si>
  <si>
    <t>Kur</t>
  </si>
  <si>
    <t xml:space="preserve">Inflacion  </t>
  </si>
  <si>
    <t xml:space="preserve">Ku </t>
  </si>
  <si>
    <t>Datos</t>
  </si>
  <si>
    <t>Endeudamiento constante a perpetuidad, D%</t>
  </si>
  <si>
    <t>Inflación año 6 en adelante</t>
  </si>
  <si>
    <t>T</t>
  </si>
  <si>
    <t>Crecimiento real (gr)</t>
  </si>
  <si>
    <t>Tasa real de interés</t>
  </si>
  <si>
    <t>Prima de riesgo para la deuda</t>
  </si>
  <si>
    <t>g nominal del año 6 en adelante</t>
  </si>
  <si>
    <t>Kd</t>
  </si>
  <si>
    <t>Ku para N+1 y siguientes</t>
  </si>
  <si>
    <t>CPPCperp</t>
  </si>
  <si>
    <t>UODI = Uox(1-T)</t>
  </si>
  <si>
    <t>VT=UODIx(1+g)/CPPCperp</t>
  </si>
  <si>
    <t>Caja y bancos</t>
  </si>
  <si>
    <t xml:space="preserve">CxC (descontadas a CPPCperp) </t>
  </si>
  <si>
    <t>Inversión temporales</t>
  </si>
  <si>
    <t>CxP (descontadas a CPPCperp)</t>
  </si>
  <si>
    <t>Liquidación de activos corrientes</t>
  </si>
  <si>
    <t>VT ajustado</t>
  </si>
  <si>
    <t>V</t>
  </si>
  <si>
    <t>Patrimonio</t>
  </si>
  <si>
    <t>VPN firma</t>
  </si>
  <si>
    <t>VPN patrimonio</t>
  </si>
  <si>
    <t>Inventario final año 0 unidades</t>
  </si>
  <si>
    <t>Damodaran</t>
  </si>
  <si>
    <t>Beta de la accion</t>
  </si>
  <si>
    <t>D/P</t>
  </si>
  <si>
    <t>Beta desapalancada</t>
  </si>
  <si>
    <t>Inversiones Nacionales De Chocolates</t>
  </si>
  <si>
    <t>Food-Confectionery</t>
  </si>
  <si>
    <t>Inversiones alimenticias Noel S.A.</t>
  </si>
  <si>
    <t>Food-Misc/Diversified</t>
  </si>
  <si>
    <t>Carulla Vivero S.A.</t>
  </si>
  <si>
    <t>Food-Retail</t>
  </si>
  <si>
    <t>Promedio</t>
  </si>
  <si>
    <t>Beta u</t>
  </si>
  <si>
    <t>Inflación año 0</t>
  </si>
  <si>
    <t>&lt;====</t>
  </si>
  <si>
    <t>PRM USA</t>
  </si>
  <si>
    <t>Inflacion USA año 0</t>
  </si>
  <si>
    <t>Cambio de precio del USD</t>
  </si>
  <si>
    <t>Riesgo país Rp</t>
  </si>
  <si>
    <t>PRM</t>
  </si>
  <si>
    <t>Rf</t>
  </si>
  <si>
    <t>Ku nominal observado en año 0</t>
  </si>
  <si>
    <t>&lt;=====</t>
  </si>
  <si>
    <t>Ku real observado en año 0</t>
  </si>
  <si>
    <t>&lt;==== Calcular</t>
  </si>
  <si>
    <t>Precio de compra Base (Año 0)</t>
  </si>
  <si>
    <t>Endeudamiento constante a perpetuidad</t>
  </si>
  <si>
    <t>a =====&gt;</t>
  </si>
  <si>
    <t>Inflación esperada año 6 y siguientes</t>
  </si>
  <si>
    <t>crecimiento g real año 6 en adelante</t>
  </si>
  <si>
    <t>Principal payments LT 1</t>
  </si>
  <si>
    <t>Principal payments ST 2</t>
  </si>
  <si>
    <t>Input data. Datos de entrada</t>
  </si>
  <si>
    <t>Equity investment. Inversión de patrimonio</t>
  </si>
  <si>
    <t>Corporate tax rate. Tasa de impuestos</t>
  </si>
  <si>
    <t>Initial purchase price. Precio de compra inicial</t>
  </si>
  <si>
    <t>Administrative and Sales payroll. Gastos laborales.</t>
  </si>
  <si>
    <t>Long term (LT) years Loan 1 at (N years). Préstamo a largo plazo (N años)</t>
  </si>
  <si>
    <t xml:space="preserve">Long term (LT) years Loan 3 (M years). </t>
  </si>
  <si>
    <t>Short term loan 2 (1 year). Préstamo a corto plazo</t>
  </si>
  <si>
    <t>Taxes are paid the same year as accrued. Los impuestos se pagan el mismo año que se provisionan</t>
  </si>
  <si>
    <t>Inflation rate. Tasa de inflación</t>
  </si>
  <si>
    <t>Real increase in selling price. Aumento real de precio de venta</t>
  </si>
  <si>
    <t>Real increase in purchase price. Aumento real de precio de compra</t>
  </si>
  <si>
    <t>Real increase in overhead expenses. Aumento real de GG</t>
  </si>
  <si>
    <t>Estimated Overhead expenses. Gastos generales. GG</t>
  </si>
  <si>
    <t>Real increase in payroll expenses. Aumento real de nómina.</t>
  </si>
  <si>
    <t>Fixed assets. Activos fijos AF</t>
  </si>
  <si>
    <t>Real increase in price fixed assets. Aumento real de precio de AF</t>
  </si>
  <si>
    <t>Increase in sales volume (units). Aumento de volumen</t>
  </si>
  <si>
    <t>Real interest rate. Tasa de interés real</t>
  </si>
  <si>
    <t>Risk premium for cost of debt. Prima de riesgo para la deuda</t>
  </si>
  <si>
    <t>Policies and goals. Políticas y metas</t>
  </si>
  <si>
    <t>Promotion and advertising as % of sales. Gastos de publicidad y promoción</t>
  </si>
  <si>
    <t>Inventory as % of volume sold. Política de inventario % de ventas del año.</t>
  </si>
  <si>
    <t>Accounts receivable as % of sales. Cuentas por cobrar CxC como % de ventas.</t>
  </si>
  <si>
    <t>Accounts payable as % of purchases. Cuentas por pagar CxP como % de Compras</t>
  </si>
  <si>
    <t>Payout ratio. Proporción de utilidades repartidas</t>
  </si>
  <si>
    <t>Minimum cash required. Saldo mínimo de caja.</t>
  </si>
  <si>
    <t>Minimum cash required for initial year (based on overhead, payroll and sales comissions). Saldo mínimo de caja para año 0 com % de gastos de nómina, GG y de comisiones de ventas</t>
  </si>
  <si>
    <t>Selling comissions. Comisiones de ventas</t>
  </si>
  <si>
    <t>Market research. Investigación de mercado.</t>
  </si>
  <si>
    <t>Selling price. Precio de venta.</t>
  </si>
  <si>
    <t>Quantity sold for first year. Cantidad que se espera vender para año 1</t>
  </si>
  <si>
    <t>Repurchase of equity as a % of funds generated by depreciation. Recompra de participación como % de la depreciación.</t>
  </si>
  <si>
    <t>Nominal increase in prices. Aumento nominal de precios.</t>
  </si>
  <si>
    <t>Selling. Venta</t>
  </si>
  <si>
    <t>Purchase. Compra</t>
  </si>
  <si>
    <t>Overhead expenses. GG</t>
  </si>
  <si>
    <t>Payroll expenses. Gastos de personal.</t>
  </si>
  <si>
    <t>Nominal increase in price of fixed assets. Aumento nominal en precio de AF</t>
  </si>
  <si>
    <t>Increase factor in volume. Factor de aumento acumulado de volumen</t>
  </si>
  <si>
    <t>Basic input variables calculation. Cálculo de la proyección de las variables básicas.</t>
  </si>
  <si>
    <t>Sales in units. Ventas en unidades.</t>
  </si>
  <si>
    <t>Selling price. Precio de venta</t>
  </si>
  <si>
    <t>Total sales. Ventas totales</t>
  </si>
  <si>
    <t>Interest payments. Gastos financieros (pago de intereses)</t>
  </si>
  <si>
    <t>Return (interest) from ST investment. Interés recibido</t>
  </si>
  <si>
    <t>Earnings BeforeTaxes EBT, Utilidad antes de impuestos</t>
  </si>
  <si>
    <t>Income Statement. Estado de resultados</t>
  </si>
  <si>
    <t>Income Taxes. Impuesto de renta</t>
  </si>
  <si>
    <t>Net Income. Utilidad neta</t>
  </si>
  <si>
    <t>Dividends. Dividendos</t>
  </si>
  <si>
    <t>Cumulated retained earnings. Uilidades acumuladas</t>
  </si>
  <si>
    <t>Repurchase of equity. Recompra de acciones</t>
  </si>
  <si>
    <t>Cash Budget. Flujo de Tesorería</t>
  </si>
  <si>
    <t>Module 1: Operating activities. Modulo 1: Actividades operativas</t>
  </si>
  <si>
    <t>Cash inflows. Ingresos de caja.</t>
  </si>
  <si>
    <t>Total AR plus sales on cash. Total de ingresos por ventas y cartera</t>
  </si>
  <si>
    <t>Total inflows. Total de ingresos</t>
  </si>
  <si>
    <t>Cash outflows. Egresos</t>
  </si>
  <si>
    <t>Total payments for purchases. Pago total de compras</t>
  </si>
  <si>
    <t>Overhead expenses. Gastos generales</t>
  </si>
  <si>
    <t>Total cash outflows. Egresos totales</t>
  </si>
  <si>
    <t>Net cash balance NCB before fixed assets purchase. Saldo neto de caja antes de compra de activos</t>
  </si>
  <si>
    <t>Purchase of fixed assets. Compra de activos fijos</t>
  </si>
  <si>
    <t>Purchase of fixed assets Year 4. Compra de activos fijos en año 4</t>
  </si>
  <si>
    <t>Module 2: Investment in assets. Módulo 2: Inversión en activos fijos</t>
  </si>
  <si>
    <t>Module 3: External financing. Módulo 3: Financiación externa</t>
  </si>
  <si>
    <t>Inflow of loans. Ingreso de préstamos</t>
  </si>
  <si>
    <t>LT Loan 1 - 5 years. Préstamo de largo plazo a 5 años</t>
  </si>
  <si>
    <t>ST Loan 2. Préstamo a corto plazo</t>
  </si>
  <si>
    <t>LT loan 3 10 years. Préstamo a largo plazo de 10 años</t>
  </si>
  <si>
    <t>Payment of loans. Pago de préstamos</t>
  </si>
  <si>
    <t>Interest LT loan 1. Intereses del préstamo a LP</t>
  </si>
  <si>
    <t>Principal LT loan 1. Abono a capital del préstamo de LP a 5 años</t>
  </si>
  <si>
    <t>Principal ST loan 2. Abono a capital CP</t>
  </si>
  <si>
    <t>Interest ST loan 2. Intereses de préstamo a CP</t>
  </si>
  <si>
    <t>Principal LT loan 3. Abono de préstamo a LP</t>
  </si>
  <si>
    <t>Interest LT loan 3. Intereses a LP</t>
  </si>
  <si>
    <t>NCB after fixed assets investment. Saldo neto de caja SNC después de compra de activos.</t>
  </si>
  <si>
    <t>NCB of investment in assets. Saldo neto de caja SNC por compra de activos</t>
  </si>
  <si>
    <t>NCB of financing actividies. SNC de la financiación</t>
  </si>
  <si>
    <t>Module 4: Transactions with owners. Módulo 4: transacciones con los dueños</t>
  </si>
  <si>
    <t>Initial Invested equity. Patrimonio inical invertido</t>
  </si>
  <si>
    <t>Dividends payment. Pago de dividendos</t>
  </si>
  <si>
    <t>Repurchase of stock. Recompra de acciones</t>
  </si>
  <si>
    <t>NCB of transactions with owners. SNC de las transacciones con los dueños</t>
  </si>
  <si>
    <t xml:space="preserve">Module 5: Discretionary transactions. Módulo 5: Transacciones discrecionales </t>
  </si>
  <si>
    <t>Sale of short term ST investment. Venta de inversiones temporales</t>
  </si>
  <si>
    <t>Return from ST investments. Rendimiento de las inversiones temporales</t>
  </si>
  <si>
    <t>ST investments. Inversiones temporales</t>
  </si>
  <si>
    <t>NCB of discretionary transactions. SNC de transacciones discrecionales</t>
  </si>
  <si>
    <t>Year NCB. SNC del año</t>
  </si>
  <si>
    <t>Cumulated NCB. SNC acumulado</t>
  </si>
  <si>
    <t>Balance Sheet. Balance general</t>
  </si>
  <si>
    <t>Assets. Activos</t>
  </si>
  <si>
    <t>Cash. Caja y bancos</t>
  </si>
  <si>
    <t>Accounts Receivable AR. Cuentas por cobrar CxC</t>
  </si>
  <si>
    <t>Inventory. Inventario</t>
  </si>
  <si>
    <t>Current assets. Activos corrientes</t>
  </si>
  <si>
    <t>Total fixed assets. Total de activos fijos netos</t>
  </si>
  <si>
    <t>Liabilities and equity. Pasivos y patrimonio</t>
  </si>
  <si>
    <t>Accounts Payable AP. Cuentas por pagar, CxP</t>
  </si>
  <si>
    <t>Short term debt. Deuda a corto plazo</t>
  </si>
  <si>
    <t>Current liabilities. Pasivos corrientes</t>
  </si>
  <si>
    <t>Long term debt. Deuda largo plazo</t>
  </si>
  <si>
    <t>Total Liabilities. Pasivos totales</t>
  </si>
  <si>
    <t>Equity investment. Inversión de capital</t>
  </si>
  <si>
    <t>Retained earnings. Utilidades retenidas</t>
  </si>
  <si>
    <t>Total Liabilities and equity. Total pasivos y patrimonio</t>
  </si>
  <si>
    <t>Selling commisions. Comisiones de venta</t>
  </si>
  <si>
    <t>Payroll expenses. Gastos de nómina</t>
  </si>
  <si>
    <t>C=IF-II+CV</t>
  </si>
  <si>
    <t>INVn=AFNn-AFNn-1+Depn</t>
  </si>
  <si>
    <t>RNn=RNn-1+Nin-Dn-1</t>
  </si>
  <si>
    <t>Dn-1=RNn-1-RNn+Nin</t>
  </si>
  <si>
    <t>OJO</t>
  </si>
  <si>
    <t xml:space="preserve">D </t>
  </si>
  <si>
    <t>Given</t>
  </si>
  <si>
    <t>Inflation</t>
  </si>
  <si>
    <t>Q sold</t>
  </si>
  <si>
    <t>Selling Price</t>
  </si>
  <si>
    <t>Purchasing price</t>
  </si>
  <si>
    <t>Real increase in Selling price</t>
  </si>
  <si>
    <t>Nominal increase in Selling price</t>
  </si>
  <si>
    <t>Nominal increase in Purchasing price</t>
  </si>
  <si>
    <t>Real increase in Purchasing price</t>
  </si>
  <si>
    <t>Nominal increase in Sales revenues</t>
  </si>
  <si>
    <t>"Real" increase in sales revenues</t>
  </si>
  <si>
    <t>Increase in volume</t>
  </si>
  <si>
    <t xml:space="preserve">Sales forecast </t>
  </si>
  <si>
    <t>Forecasted inflation</t>
  </si>
  <si>
    <t>Nominal increase in selling price</t>
  </si>
  <si>
    <t>Nominal increase in sales revenues</t>
  </si>
  <si>
    <t>Selling prices</t>
  </si>
  <si>
    <t xml:space="preserve">Forecast </t>
  </si>
  <si>
    <t>Quantities</t>
  </si>
  <si>
    <t>Sales revenues (PxQ)</t>
  </si>
  <si>
    <t>Sales revenues from IS</t>
  </si>
  <si>
    <t>Sales revenues from IS using average nominal increase</t>
  </si>
  <si>
    <t>Diff bet PxQ and Sales rev from IS and "real"</t>
  </si>
  <si>
    <t>Diff bet PxQ and Sales rev from IS and average</t>
  </si>
  <si>
    <t>Overhead expenses</t>
  </si>
  <si>
    <t>Nominal increase in overhead expenses</t>
  </si>
  <si>
    <t>Real increase in overhead expenses</t>
  </si>
  <si>
    <t>Nominal increase in administrative and selling expenses</t>
  </si>
  <si>
    <t>Real increase in administrative and selling expenses</t>
  </si>
  <si>
    <t>Overhead and Administrative and selling expenses</t>
  </si>
  <si>
    <t>Real interest rate</t>
  </si>
  <si>
    <t>Cash as % of sales</t>
  </si>
  <si>
    <t>Cash in BS</t>
  </si>
  <si>
    <t>Interest paid</t>
  </si>
  <si>
    <t>Debt (Total)</t>
  </si>
  <si>
    <t>Interest rate paid</t>
  </si>
  <si>
    <t>Interest received</t>
  </si>
  <si>
    <t>ST term investment</t>
  </si>
  <si>
    <t>Interest rate received</t>
  </si>
  <si>
    <t>Risk premium in debt</t>
  </si>
  <si>
    <t>Risk premium in ST investment</t>
  </si>
  <si>
    <t>Risk premium for ST investment</t>
  </si>
  <si>
    <t>AR policy = AR/ Sales revenues as %</t>
  </si>
  <si>
    <t>Payout ratio= Dividends/Net Income</t>
  </si>
  <si>
    <t>IF = II + P - CV</t>
  </si>
  <si>
    <t>P=IF-II+CV</t>
  </si>
  <si>
    <t>Purchases = Final Inv. - Beginning Inv +COGS</t>
  </si>
  <si>
    <t xml:space="preserve">Minimum cash </t>
  </si>
  <si>
    <t>Tax rate</t>
  </si>
  <si>
    <t>AP policy = AP/Purchases as %</t>
  </si>
  <si>
    <t>Gross margin</t>
  </si>
  <si>
    <t>principal pymnt</t>
  </si>
  <si>
    <t>Debt schedule for debt contracted in year 1</t>
  </si>
  <si>
    <t>NCB for the year after previous transactions</t>
  </si>
  <si>
    <t>Inventory policy = Inventory/sales revenues as %</t>
  </si>
  <si>
    <t>Working capital</t>
  </si>
  <si>
    <t>Cash</t>
  </si>
  <si>
    <t>Inventory</t>
  </si>
  <si>
    <t>Marketable securities</t>
  </si>
  <si>
    <t>Current assets</t>
  </si>
  <si>
    <t>Accounts receivable</t>
  </si>
  <si>
    <t>Accounts payable</t>
  </si>
  <si>
    <t>Current liabilities</t>
  </si>
  <si>
    <t>Change in working capital</t>
  </si>
  <si>
    <t>Working capital = Current assets - Current liabilities+Short term debt</t>
  </si>
  <si>
    <t>Net Income</t>
  </si>
  <si>
    <t>Plus depreciation</t>
  </si>
  <si>
    <t>Plus Interest payments</t>
  </si>
  <si>
    <t>Minus Tax savings</t>
  </si>
  <si>
    <t>Minus change in working capial</t>
  </si>
  <si>
    <t>FCF</t>
  </si>
  <si>
    <t>Minus Principal payments</t>
  </si>
  <si>
    <t>CFE</t>
  </si>
  <si>
    <t>EBIT</t>
  </si>
  <si>
    <t>Minus tax on EBIT</t>
  </si>
  <si>
    <t>Plus Return on ST investments</t>
  </si>
  <si>
    <t>Minus tax on return on ST investment</t>
  </si>
  <si>
    <t>Minus Investments in operating assets</t>
  </si>
  <si>
    <t>Minus principal payments</t>
  </si>
  <si>
    <t>Minus Interest payments</t>
  </si>
  <si>
    <t>Plus tax savings</t>
  </si>
  <si>
    <t>Tax savings</t>
  </si>
  <si>
    <t>Investment in assets =NFAt-NFAt-1+Depreciation</t>
  </si>
  <si>
    <t>CFD</t>
  </si>
  <si>
    <t>CCF</t>
  </si>
  <si>
    <t>TS</t>
  </si>
  <si>
    <t>Advertising and promotios. Publicidad</t>
  </si>
  <si>
    <t>Increase in real price</t>
  </si>
  <si>
    <t>new debt</t>
  </si>
  <si>
    <t>Operating margin</t>
  </si>
  <si>
    <t>Net margin</t>
  </si>
  <si>
    <t>Historical average</t>
  </si>
  <si>
    <t>EBITDA</t>
  </si>
  <si>
    <t>EBITDA/Sales revenues</t>
  </si>
  <si>
    <t>FCF8</t>
  </si>
  <si>
    <t>CFE8</t>
  </si>
  <si>
    <t>AR Policy</t>
  </si>
  <si>
    <t>NCB 8</t>
  </si>
  <si>
    <t>CFD8</t>
  </si>
  <si>
    <t>TS8</t>
  </si>
  <si>
    <t>FCF7</t>
  </si>
  <si>
    <t>TS7</t>
  </si>
  <si>
    <t>CFD7</t>
  </si>
  <si>
    <t>CFE7</t>
  </si>
  <si>
    <t>FCF+TS</t>
  </si>
  <si>
    <t>CFD+CFE</t>
  </si>
  <si>
    <t>interest</t>
  </si>
  <si>
    <t>AR policy</t>
  </si>
  <si>
    <t>inventory policy</t>
  </si>
  <si>
    <t>Cash flows with operating assets</t>
  </si>
  <si>
    <t>FCF with full WC</t>
  </si>
  <si>
    <t>Change in working capital with full WC</t>
  </si>
  <si>
    <t>CFE+CFD</t>
  </si>
  <si>
    <t>Interest ST sec</t>
  </si>
  <si>
    <t>tax on interest ST sec</t>
  </si>
  <si>
    <t>After tax interest ST sec</t>
  </si>
  <si>
    <t>cgange in cash</t>
  </si>
  <si>
    <t>chg in st invest</t>
  </si>
  <si>
    <t>reconciliation</t>
  </si>
  <si>
    <t>Diff in FCF</t>
  </si>
  <si>
    <t>chg in ST inv</t>
  </si>
  <si>
    <t>sum</t>
  </si>
  <si>
    <t>diff in cash</t>
  </si>
  <si>
    <t>return st inv</t>
  </si>
  <si>
    <t>tx on st return</t>
  </si>
  <si>
    <t>Diff in CFE</t>
  </si>
  <si>
    <t>CFE with full WC</t>
  </si>
  <si>
    <t>FCF with pot div</t>
  </si>
  <si>
    <t>wacc</t>
  </si>
  <si>
    <t>PV with FULL FCF</t>
  </si>
  <si>
    <t>PV with pot div</t>
  </si>
  <si>
    <t>ST inv</t>
  </si>
  <si>
    <t>PV pot div</t>
  </si>
  <si>
    <t>Deprec Invtmt yr 5</t>
  </si>
  <si>
    <t>Deprec Invtmt yr 6</t>
  </si>
  <si>
    <t>Deprec Invtmt yr 7</t>
  </si>
  <si>
    <t>Deprec Invtmt yr 8</t>
  </si>
  <si>
    <t>Deprec Invtmt yr 9</t>
  </si>
  <si>
    <t>Deprec Invstmt yr 4</t>
  </si>
  <si>
    <t>year 8</t>
  </si>
  <si>
    <t>Sales revenues from IS sales</t>
  </si>
  <si>
    <t>Total net fixed assets. Total de activos fijos netos</t>
  </si>
  <si>
    <t>Current year Net Income</t>
  </si>
  <si>
    <t>Redemption of short term ST investment. Venta de inversiones temporales</t>
  </si>
  <si>
    <t>ret earn 0 - ret earn 1 +NI1</t>
  </si>
  <si>
    <t>Divt = Rit-1 + Nit-1-Rit</t>
  </si>
  <si>
    <t>Rit = Rit-1+Nit-1 -Divt</t>
  </si>
  <si>
    <t>Debt schedule for debt contracted in year4</t>
  </si>
  <si>
    <t>Accounts receivables</t>
  </si>
  <si>
    <t>Final Inventory</t>
  </si>
  <si>
    <t>Initial inventory</t>
  </si>
  <si>
    <t>Accounts payables</t>
  </si>
  <si>
    <t>Cumulated retained earnings.</t>
  </si>
  <si>
    <t>Dividends. Dn-1=RNn-1-RNn+Nin</t>
  </si>
  <si>
    <t>Inventory policy = Inventory/COGS as %</t>
  </si>
  <si>
    <t>% of deficit covered by debt</t>
  </si>
  <si>
    <t>Price of new asset in year 5</t>
  </si>
  <si>
    <t xml:space="preserve">  ++++</t>
  </si>
  <si>
    <t>Fixed assets</t>
  </si>
  <si>
    <t>Cunulated depreciation</t>
  </si>
  <si>
    <t xml:space="preserve"> +++</t>
  </si>
  <si>
    <t>Advertising and promotion. Publicidad</t>
  </si>
</sst>
</file>

<file path=xl/styles.xml><?xml version="1.0" encoding="utf-8"?>
<styleSheet xmlns="http://schemas.openxmlformats.org/spreadsheetml/2006/main">
  <numFmts count="26">
    <numFmt numFmtId="43" formatCode="_(* #,##0.00_);_(* \(#,##0.00\);_(* &quot;-&quot;??_);_(@_)"/>
    <numFmt numFmtId="164" formatCode="_ * #,##0.00_ ;_ * \-#,##0.00_ ;_ * &quot;-&quot;??_ ;_ @_ "/>
    <numFmt numFmtId="165" formatCode="#,##0.0"/>
    <numFmt numFmtId="166" formatCode="#,##0.000000"/>
    <numFmt numFmtId="167" formatCode="#,##0.00000"/>
    <numFmt numFmtId="168" formatCode="0.00000%"/>
    <numFmt numFmtId="169" formatCode="0.0%"/>
    <numFmt numFmtId="170" formatCode="0.0000%"/>
    <numFmt numFmtId="171" formatCode="0.0"/>
    <numFmt numFmtId="172" formatCode="0.0000"/>
    <numFmt numFmtId="173" formatCode="_(* #,##0.00000_);_(* \(#,##0.00000\);_(* &quot;-&quot;??_);_(@_)"/>
    <numFmt numFmtId="174" formatCode="0.000000000%"/>
    <numFmt numFmtId="175" formatCode="#,##0.0000"/>
    <numFmt numFmtId="176" formatCode="#,##0.0000000"/>
    <numFmt numFmtId="177" formatCode="0.000%"/>
    <numFmt numFmtId="178" formatCode="0.0000000%"/>
    <numFmt numFmtId="179" formatCode="0.0000000000"/>
    <numFmt numFmtId="180" formatCode="0.000000%"/>
    <numFmt numFmtId="181" formatCode="#,##0.000"/>
    <numFmt numFmtId="182" formatCode="0.000"/>
    <numFmt numFmtId="183" formatCode="0.00000"/>
    <numFmt numFmtId="184" formatCode="General_)"/>
    <numFmt numFmtId="185" formatCode="_ * #,##0.0_ ;_ * \-#,##0.0_ ;_ * &quot;-&quot;??_ ;_ @_ "/>
    <numFmt numFmtId="186" formatCode="#,##0.0_);\(#,##0.0\)"/>
    <numFmt numFmtId="187" formatCode="_ * #,##0.00000_ ;_ * \-#,##0.00000_ ;_ * &quot;-&quot;??_ ;_ @_ "/>
    <numFmt numFmtId="188" formatCode="_(* #,##0.0_);_(* \(#,##0.0\);_(* &quot;-&quot;?_);_(@_)"/>
  </numFmts>
  <fonts count="16">
    <font>
      <sz val="8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  <font>
      <sz val="8"/>
      <name val="Arial"/>
      <family val="2"/>
    </font>
    <font>
      <b/>
      <sz val="11"/>
      <color indexed="10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17"/>
      <name val="Times New Roman"/>
      <family val="1"/>
    </font>
    <font>
      <b/>
      <sz val="8"/>
      <color indexed="10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2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84" fontId="7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2" applyFont="1"/>
    <xf numFmtId="0" fontId="4" fillId="0" borderId="0" xfId="2" applyFont="1"/>
    <xf numFmtId="0" fontId="2" fillId="0" borderId="0" xfId="0" applyFont="1"/>
    <xf numFmtId="0" fontId="2" fillId="0" borderId="0" xfId="2" applyFont="1" applyAlignment="1"/>
    <xf numFmtId="0" fontId="2" fillId="0" borderId="0" xfId="2" quotePrefix="1" applyFont="1" applyAlignment="1">
      <alignment horizontal="left"/>
    </xf>
    <xf numFmtId="0" fontId="4" fillId="0" borderId="0" xfId="2" applyFont="1" applyAlignment="1">
      <alignment wrapText="1"/>
    </xf>
    <xf numFmtId="165" fontId="2" fillId="0" borderId="0" xfId="2" applyNumberFormat="1" applyFont="1"/>
    <xf numFmtId="166" fontId="2" fillId="0" borderId="0" xfId="2" applyNumberFormat="1" applyFont="1"/>
    <xf numFmtId="165" fontId="2" fillId="0" borderId="0" xfId="0" applyNumberFormat="1" applyFont="1"/>
    <xf numFmtId="165" fontId="2" fillId="2" borderId="0" xfId="2" applyNumberFormat="1" applyFont="1" applyFill="1"/>
    <xf numFmtId="167" fontId="2" fillId="0" borderId="0" xfId="2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8" fontId="2" fillId="0" borderId="0" xfId="4" applyNumberFormat="1" applyFont="1"/>
    <xf numFmtId="169" fontId="2" fillId="2" borderId="0" xfId="4" applyNumberFormat="1" applyFont="1" applyFill="1"/>
    <xf numFmtId="4" fontId="2" fillId="0" borderId="0" xfId="2" applyNumberFormat="1" applyFont="1"/>
    <xf numFmtId="10" fontId="2" fillId="0" borderId="0" xfId="2" applyNumberFormat="1" applyFont="1"/>
    <xf numFmtId="10" fontId="2" fillId="0" borderId="0" xfId="4" applyNumberFormat="1" applyFont="1"/>
    <xf numFmtId="170" fontId="2" fillId="0" borderId="0" xfId="4" applyNumberFormat="1" applyFont="1"/>
    <xf numFmtId="9" fontId="2" fillId="0" borderId="0" xfId="2" applyNumberFormat="1" applyFont="1"/>
    <xf numFmtId="171" fontId="2" fillId="2" borderId="0" xfId="2" applyNumberFormat="1" applyFont="1" applyFill="1"/>
    <xf numFmtId="4" fontId="2" fillId="0" borderId="0" xfId="1" applyNumberFormat="1" applyFont="1"/>
    <xf numFmtId="0" fontId="4" fillId="0" borderId="0" xfId="0" applyFont="1" applyBorder="1" applyAlignment="1">
      <alignment horizontal="left"/>
    </xf>
    <xf numFmtId="169" fontId="2" fillId="0" borderId="0" xfId="2" applyNumberFormat="1" applyFont="1"/>
    <xf numFmtId="10" fontId="2" fillId="2" borderId="0" xfId="4" applyNumberFormat="1" applyFont="1" applyFill="1"/>
    <xf numFmtId="0" fontId="4" fillId="0" borderId="0" xfId="0" applyFont="1"/>
    <xf numFmtId="0" fontId="2" fillId="0" borderId="0" xfId="0" applyFont="1" applyAlignment="1"/>
    <xf numFmtId="170" fontId="2" fillId="0" borderId="0" xfId="2" applyNumberFormat="1" applyFont="1"/>
    <xf numFmtId="164" fontId="2" fillId="0" borderId="0" xfId="1" applyFont="1"/>
    <xf numFmtId="9" fontId="2" fillId="0" borderId="0" xfId="0" applyNumberFormat="1" applyFont="1"/>
    <xf numFmtId="169" fontId="2" fillId="0" borderId="0" xfId="4" applyNumberFormat="1" applyFont="1" applyFill="1"/>
    <xf numFmtId="0" fontId="4" fillId="0" borderId="0" xfId="2" quotePrefix="1" applyFont="1" applyAlignment="1">
      <alignment horizontal="left" wrapText="1"/>
    </xf>
    <xf numFmtId="180" fontId="2" fillId="0" borderId="0" xfId="4" applyNumberFormat="1" applyFont="1"/>
    <xf numFmtId="0" fontId="2" fillId="0" borderId="0" xfId="2" applyFont="1" applyFill="1"/>
    <xf numFmtId="2" fontId="2" fillId="0" borderId="0" xfId="2" applyNumberFormat="1" applyFont="1"/>
    <xf numFmtId="0" fontId="2" fillId="0" borderId="0" xfId="0" applyFont="1" applyAlignment="1">
      <alignment wrapText="1"/>
    </xf>
    <xf numFmtId="0" fontId="2" fillId="0" borderId="0" xfId="2" applyFont="1" applyAlignment="1">
      <alignment wrapText="1"/>
    </xf>
    <xf numFmtId="183" fontId="2" fillId="0" borderId="0" xfId="2" applyNumberFormat="1" applyFont="1"/>
    <xf numFmtId="10" fontId="2" fillId="0" borderId="0" xfId="0" applyNumberFormat="1" applyFont="1"/>
    <xf numFmtId="0" fontId="2" fillId="0" borderId="0" xfId="2" applyFont="1" applyAlignment="1">
      <alignment horizontal="center"/>
    </xf>
    <xf numFmtId="171" fontId="2" fillId="0" borderId="0" xfId="2" applyNumberFormat="1" applyFont="1"/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65" fontId="2" fillId="0" borderId="0" xfId="2" applyNumberFormat="1" applyFont="1" applyAlignment="1"/>
    <xf numFmtId="165" fontId="2" fillId="0" borderId="0" xfId="2" applyNumberFormat="1" applyFont="1" applyBorder="1"/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9" fontId="2" fillId="0" borderId="0" xfId="0" applyNumberFormat="1" applyFont="1"/>
    <xf numFmtId="0" fontId="4" fillId="0" borderId="0" xfId="0" quotePrefix="1" applyFont="1" applyBorder="1" applyAlignment="1">
      <alignment horizontal="left" wrapText="1"/>
    </xf>
    <xf numFmtId="164" fontId="2" fillId="0" borderId="0" xfId="1" applyNumberFormat="1" applyFont="1"/>
    <xf numFmtId="165" fontId="2" fillId="0" borderId="0" xfId="2" applyNumberFormat="1" applyFont="1" applyAlignment="1">
      <alignment wrapText="1"/>
    </xf>
    <xf numFmtId="164" fontId="2" fillId="0" borderId="0" xfId="0" applyNumberFormat="1" applyFont="1"/>
    <xf numFmtId="0" fontId="4" fillId="0" borderId="0" xfId="0" applyFont="1" applyBorder="1" applyAlignment="1">
      <alignment horizontal="left" vertical="top" wrapText="1"/>
    </xf>
    <xf numFmtId="185" fontId="5" fillId="0" borderId="0" xfId="1" applyNumberFormat="1" applyFont="1" applyAlignment="1">
      <alignment wrapText="1"/>
    </xf>
    <xf numFmtId="0" fontId="4" fillId="0" borderId="0" xfId="0" quotePrefix="1" applyFont="1" applyBorder="1" applyAlignment="1">
      <alignment horizontal="left" vertical="top" wrapText="1"/>
    </xf>
    <xf numFmtId="0" fontId="4" fillId="3" borderId="0" xfId="2" applyFont="1" applyFill="1"/>
    <xf numFmtId="0" fontId="0" fillId="0" borderId="0" xfId="0" applyAlignment="1">
      <alignment wrapText="1"/>
    </xf>
    <xf numFmtId="9" fontId="0" fillId="0" borderId="0" xfId="0" applyNumberFormat="1"/>
    <xf numFmtId="165" fontId="0" fillId="0" borderId="0" xfId="0" applyNumberFormat="1"/>
    <xf numFmtId="185" fontId="0" fillId="0" borderId="0" xfId="1" applyNumberFormat="1" applyFont="1"/>
    <xf numFmtId="165" fontId="4" fillId="0" borderId="0" xfId="2" applyNumberFormat="1" applyFont="1" applyAlignment="1">
      <alignment wrapText="1"/>
    </xf>
    <xf numFmtId="0" fontId="4" fillId="0" borderId="0" xfId="2" applyFont="1" applyAlignment="1">
      <alignment horizontal="left" wrapText="1"/>
    </xf>
    <xf numFmtId="0" fontId="6" fillId="0" borderId="0" xfId="0" quotePrefix="1" applyFont="1" applyBorder="1" applyAlignment="1">
      <alignment horizontal="left" wrapText="1"/>
    </xf>
    <xf numFmtId="0" fontId="4" fillId="0" borderId="0" xfId="0" quotePrefix="1" applyFont="1" applyBorder="1" applyAlignment="1">
      <alignment horizontal="left"/>
    </xf>
    <xf numFmtId="0" fontId="11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3" fontId="2" fillId="0" borderId="0" xfId="1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center" wrapText="1"/>
    </xf>
    <xf numFmtId="186" fontId="2" fillId="0" borderId="0" xfId="3" applyNumberFormat="1" applyFont="1" applyFill="1" applyProtection="1"/>
    <xf numFmtId="9" fontId="2" fillId="2" borderId="0" xfId="4" applyFont="1" applyFill="1"/>
    <xf numFmtId="182" fontId="2" fillId="0" borderId="0" xfId="2" applyNumberFormat="1" applyFont="1"/>
    <xf numFmtId="13" fontId="2" fillId="2" borderId="0" xfId="4" applyNumberFormat="1" applyFont="1" applyFill="1"/>
    <xf numFmtId="169" fontId="2" fillId="0" borderId="0" xfId="2" applyNumberFormat="1" applyFont="1" applyAlignment="1">
      <alignment horizontal="center"/>
    </xf>
    <xf numFmtId="0" fontId="4" fillId="0" borderId="0" xfId="0" applyFont="1" applyAlignment="1">
      <alignment wrapText="1"/>
    </xf>
    <xf numFmtId="165" fontId="4" fillId="0" borderId="0" xfId="0" applyNumberFormat="1" applyFont="1"/>
    <xf numFmtId="165" fontId="4" fillId="0" borderId="0" xfId="0" quotePrefix="1" applyNumberFormat="1" applyFont="1" applyAlignment="1">
      <alignment horizontal="left"/>
    </xf>
    <xf numFmtId="0" fontId="4" fillId="0" borderId="0" xfId="2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72" fontId="2" fillId="0" borderId="0" xfId="0" applyNumberFormat="1" applyFont="1" applyAlignment="1">
      <alignment horizontal="center"/>
    </xf>
    <xf numFmtId="173" fontId="2" fillId="0" borderId="0" xfId="1" applyNumberFormat="1" applyFont="1"/>
    <xf numFmtId="174" fontId="2" fillId="0" borderId="0" xfId="2" applyNumberFormat="1" applyFont="1"/>
    <xf numFmtId="175" fontId="2" fillId="0" borderId="0" xfId="1" applyNumberFormat="1" applyFont="1"/>
    <xf numFmtId="0" fontId="4" fillId="4" borderId="0" xfId="0" applyFont="1" applyFill="1" applyBorder="1"/>
    <xf numFmtId="176" fontId="2" fillId="2" borderId="0" xfId="2" applyNumberFormat="1" applyFont="1" applyFill="1"/>
    <xf numFmtId="168" fontId="2" fillId="2" borderId="0" xfId="4" applyNumberFormat="1" applyFont="1" applyFill="1"/>
    <xf numFmtId="10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0" fontId="4" fillId="4" borderId="0" xfId="0" applyFont="1" applyFill="1"/>
    <xf numFmtId="168" fontId="2" fillId="0" borderId="0" xfId="4" applyNumberFormat="1" applyFont="1" applyFill="1"/>
    <xf numFmtId="0" fontId="2" fillId="4" borderId="0" xfId="0" applyFont="1" applyFill="1"/>
    <xf numFmtId="178" fontId="2" fillId="0" borderId="0" xfId="4" applyNumberFormat="1" applyFont="1" applyFill="1"/>
    <xf numFmtId="179" fontId="2" fillId="0" borderId="0" xfId="0" applyNumberFormat="1" applyFont="1"/>
    <xf numFmtId="4" fontId="2" fillId="0" borderId="0" xfId="0" applyNumberFormat="1" applyFont="1"/>
    <xf numFmtId="0" fontId="4" fillId="4" borderId="0" xfId="2" applyFont="1" applyFill="1" applyAlignment="1">
      <alignment wrapText="1"/>
    </xf>
    <xf numFmtId="170" fontId="2" fillId="0" borderId="0" xfId="4" applyNumberFormat="1" applyFont="1" applyFill="1"/>
    <xf numFmtId="164" fontId="2" fillId="5" borderId="0" xfId="1" applyFont="1" applyFill="1"/>
    <xf numFmtId="10" fontId="2" fillId="2" borderId="0" xfId="2" applyNumberFormat="1" applyFont="1" applyFill="1"/>
    <xf numFmtId="181" fontId="2" fillId="0" borderId="0" xfId="2" applyNumberFormat="1" applyFont="1"/>
    <xf numFmtId="0" fontId="4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 vertical="top" wrapText="1"/>
    </xf>
    <xf numFmtId="0" fontId="9" fillId="0" borderId="0" xfId="0" quotePrefix="1" applyFont="1" applyBorder="1" applyAlignment="1">
      <alignment horizontal="left" wrapText="1"/>
    </xf>
    <xf numFmtId="0" fontId="11" fillId="0" borderId="0" xfId="0" quotePrefix="1" applyFont="1" applyBorder="1" applyAlignment="1">
      <alignment horizontal="left" wrapText="1"/>
    </xf>
    <xf numFmtId="0" fontId="4" fillId="6" borderId="0" xfId="2" quotePrefix="1" applyFont="1" applyFill="1" applyAlignment="1">
      <alignment horizontal="left" wrapText="1"/>
    </xf>
    <xf numFmtId="0" fontId="4" fillId="6" borderId="0" xfId="2" applyFont="1" applyFill="1" applyAlignment="1">
      <alignment wrapText="1"/>
    </xf>
    <xf numFmtId="0" fontId="2" fillId="4" borderId="1" xfId="0" quotePrefix="1" applyFont="1" applyFill="1" applyBorder="1" applyAlignment="1">
      <alignment horizontal="left" vertical="top" wrapText="1"/>
    </xf>
    <xf numFmtId="0" fontId="4" fillId="4" borderId="0" xfId="0" quotePrefix="1" applyFont="1" applyFill="1" applyBorder="1" applyAlignment="1">
      <alignment horizontal="left" wrapText="1"/>
    </xf>
    <xf numFmtId="0" fontId="4" fillId="7" borderId="0" xfId="2" quotePrefix="1" applyFont="1" applyFill="1" applyAlignment="1">
      <alignment horizontal="left" wrapText="1"/>
    </xf>
    <xf numFmtId="10" fontId="2" fillId="0" borderId="0" xfId="2" applyNumberFormat="1" applyFont="1" applyFill="1"/>
    <xf numFmtId="0" fontId="8" fillId="0" borderId="0" xfId="0" applyFont="1"/>
    <xf numFmtId="9" fontId="8" fillId="0" borderId="0" xfId="0" applyNumberFormat="1" applyFont="1"/>
    <xf numFmtId="169" fontId="0" fillId="0" borderId="0" xfId="0" applyNumberFormat="1"/>
    <xf numFmtId="10" fontId="12" fillId="0" borderId="0" xfId="4" applyNumberFormat="1" applyFont="1"/>
    <xf numFmtId="10" fontId="12" fillId="0" borderId="0" xfId="0" applyNumberFormat="1" applyFont="1"/>
    <xf numFmtId="185" fontId="8" fillId="0" borderId="0" xfId="1" applyNumberFormat="1" applyFont="1"/>
    <xf numFmtId="164" fontId="0" fillId="0" borderId="0" xfId="1" applyFont="1"/>
    <xf numFmtId="0" fontId="8" fillId="0" borderId="0" xfId="0" applyFont="1" applyAlignment="1">
      <alignment wrapText="1"/>
    </xf>
    <xf numFmtId="10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43" fontId="0" fillId="0" borderId="0" xfId="0" applyNumberFormat="1"/>
    <xf numFmtId="164" fontId="0" fillId="0" borderId="0" xfId="1" applyNumberFormat="1" applyFont="1" applyAlignment="1">
      <alignment wrapText="1"/>
    </xf>
    <xf numFmtId="164" fontId="8" fillId="0" borderId="0" xfId="1" applyNumberFormat="1" applyFont="1" applyAlignment="1">
      <alignment wrapText="1"/>
    </xf>
    <xf numFmtId="171" fontId="2" fillId="0" borderId="0" xfId="0" applyNumberFormat="1" applyFont="1"/>
    <xf numFmtId="169" fontId="2" fillId="0" borderId="0" xfId="2" applyNumberFormat="1" applyFont="1" applyFill="1"/>
    <xf numFmtId="171" fontId="0" fillId="0" borderId="0" xfId="0" applyNumberFormat="1"/>
    <xf numFmtId="169" fontId="2" fillId="0" borderId="0" xfId="4" applyNumberFormat="1" applyFont="1"/>
    <xf numFmtId="176" fontId="2" fillId="0" borderId="0" xfId="2" applyNumberFormat="1" applyFont="1"/>
    <xf numFmtId="0" fontId="8" fillId="0" borderId="0" xfId="0" quotePrefix="1" applyFont="1" applyAlignment="1">
      <alignment horizontal="left" wrapText="1"/>
    </xf>
    <xf numFmtId="10" fontId="0" fillId="3" borderId="0" xfId="0" applyNumberFormat="1" applyFill="1"/>
    <xf numFmtId="185" fontId="2" fillId="0" borderId="0" xfId="1" applyNumberFormat="1" applyFont="1" applyAlignment="1">
      <alignment horizontal="center"/>
    </xf>
    <xf numFmtId="185" fontId="2" fillId="0" borderId="0" xfId="1" applyNumberFormat="1" applyFont="1"/>
    <xf numFmtId="164" fontId="0" fillId="0" borderId="0" xfId="1" applyNumberFormat="1" applyFont="1"/>
    <xf numFmtId="10" fontId="2" fillId="0" borderId="0" xfId="4" applyNumberFormat="1" applyFont="1" applyFill="1"/>
    <xf numFmtId="164" fontId="0" fillId="0" borderId="0" xfId="1" applyFont="1" applyAlignment="1">
      <alignment wrapText="1"/>
    </xf>
    <xf numFmtId="4" fontId="0" fillId="0" borderId="0" xfId="0" applyNumberFormat="1"/>
    <xf numFmtId="169" fontId="0" fillId="0" borderId="0" xfId="4" applyNumberFormat="1" applyFont="1" applyAlignment="1">
      <alignment wrapText="1"/>
    </xf>
    <xf numFmtId="169" fontId="0" fillId="0" borderId="0" xfId="4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165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 vertical="top"/>
    </xf>
    <xf numFmtId="185" fontId="0" fillId="0" borderId="0" xfId="0" applyNumberFormat="1"/>
    <xf numFmtId="187" fontId="0" fillId="0" borderId="0" xfId="0" applyNumberFormat="1"/>
    <xf numFmtId="185" fontId="0" fillId="0" borderId="0" xfId="1" applyNumberFormat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165" fontId="14" fillId="0" borderId="0" xfId="0" applyNumberFormat="1" applyFont="1"/>
    <xf numFmtId="185" fontId="14" fillId="0" borderId="0" xfId="1" applyNumberFormat="1" applyFont="1" applyAlignment="1">
      <alignment wrapText="1"/>
    </xf>
    <xf numFmtId="164" fontId="14" fillId="0" borderId="0" xfId="1" applyNumberFormat="1" applyFont="1" applyAlignment="1">
      <alignment wrapText="1"/>
    </xf>
    <xf numFmtId="164" fontId="0" fillId="0" borderId="0" xfId="0" applyNumberFormat="1"/>
    <xf numFmtId="188" fontId="0" fillId="0" borderId="0" xfId="0" applyNumberFormat="1"/>
    <xf numFmtId="0" fontId="8" fillId="8" borderId="0" xfId="0" applyFont="1" applyFill="1" applyAlignment="1">
      <alignment wrapText="1"/>
    </xf>
    <xf numFmtId="10" fontId="0" fillId="8" borderId="0" xfId="0" applyNumberFormat="1" applyFill="1"/>
    <xf numFmtId="0" fontId="4" fillId="9" borderId="0" xfId="2" applyFont="1" applyFill="1" applyAlignment="1">
      <alignment wrapText="1"/>
    </xf>
    <xf numFmtId="0" fontId="8" fillId="9" borderId="0" xfId="0" applyFont="1" applyFill="1" applyAlignment="1">
      <alignment wrapText="1"/>
    </xf>
    <xf numFmtId="165" fontId="2" fillId="9" borderId="0" xfId="2" applyNumberFormat="1" applyFont="1" applyFill="1"/>
    <xf numFmtId="165" fontId="0" fillId="9" borderId="0" xfId="0" applyNumberFormat="1" applyFill="1"/>
    <xf numFmtId="0" fontId="0" fillId="9" borderId="0" xfId="0" applyFill="1"/>
    <xf numFmtId="0" fontId="2" fillId="10" borderId="0" xfId="2" applyFont="1" applyFill="1"/>
    <xf numFmtId="0" fontId="4" fillId="10" borderId="0" xfId="2" quotePrefix="1" applyFont="1" applyFill="1" applyAlignment="1">
      <alignment horizontal="left" wrapText="1"/>
    </xf>
    <xf numFmtId="0" fontId="2" fillId="10" borderId="0" xfId="2" applyFont="1" applyFill="1" applyAlignment="1"/>
    <xf numFmtId="10" fontId="15" fillId="0" borderId="1" xfId="0" applyNumberFormat="1" applyFont="1" applyBorder="1" applyAlignment="1">
      <alignment horizontal="right"/>
    </xf>
    <xf numFmtId="10" fontId="15" fillId="0" borderId="2" xfId="0" applyNumberFormat="1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10" fontId="2" fillId="0" borderId="4" xfId="0" applyNumberFormat="1" applyFont="1" applyBorder="1" applyAlignment="1">
      <alignment horizontal="right"/>
    </xf>
    <xf numFmtId="10" fontId="15" fillId="0" borderId="3" xfId="0" applyNumberFormat="1" applyFont="1" applyBorder="1" applyAlignment="1">
      <alignment horizontal="right"/>
    </xf>
    <xf numFmtId="10" fontId="15" fillId="0" borderId="4" xfId="0" applyNumberFormat="1" applyFont="1" applyBorder="1" applyAlignment="1">
      <alignment horizontal="right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 wrapText="1"/>
    </xf>
    <xf numFmtId="165" fontId="8" fillId="0" borderId="0" xfId="0" applyNumberFormat="1" applyFont="1"/>
    <xf numFmtId="0" fontId="8" fillId="0" borderId="0" xfId="0" applyFont="1" applyAlignment="1">
      <alignment horizontal="left" wrapText="1"/>
    </xf>
    <xf numFmtId="4" fontId="8" fillId="0" borderId="0" xfId="1" applyNumberFormat="1" applyFont="1" applyAlignment="1">
      <alignment wrapText="1"/>
    </xf>
    <xf numFmtId="10" fontId="2" fillId="10" borderId="0" xfId="4" applyNumberFormat="1" applyFont="1" applyFill="1"/>
    <xf numFmtId="164" fontId="2" fillId="0" borderId="0" xfId="1" applyFont="1" applyAlignment="1">
      <alignment horizontal="center"/>
    </xf>
    <xf numFmtId="4" fontId="2" fillId="0" borderId="0" xfId="2" applyNumberFormat="1" applyFont="1" applyAlignment="1">
      <alignment horizontal="left"/>
    </xf>
    <xf numFmtId="4" fontId="2" fillId="0" borderId="0" xfId="2" quotePrefix="1" applyNumberFormat="1" applyFont="1" applyAlignment="1">
      <alignment horizontal="right"/>
    </xf>
    <xf numFmtId="4" fontId="8" fillId="0" borderId="0" xfId="0" quotePrefix="1" applyNumberFormat="1" applyFont="1" applyAlignment="1">
      <alignment horizontal="left"/>
    </xf>
    <xf numFmtId="4" fontId="2" fillId="0" borderId="0" xfId="2" applyNumberFormat="1" applyFont="1" applyAlignment="1">
      <alignment horizontal="center"/>
    </xf>
    <xf numFmtId="169" fontId="2" fillId="11" borderId="0" xfId="4" applyNumberFormat="1" applyFont="1" applyFill="1"/>
    <xf numFmtId="169" fontId="2" fillId="11" borderId="0" xfId="2" applyNumberFormat="1" applyFont="1" applyFill="1"/>
    <xf numFmtId="10" fontId="2" fillId="11" borderId="0" xfId="4" applyNumberFormat="1" applyFont="1" applyFill="1"/>
    <xf numFmtId="169" fontId="2" fillId="12" borderId="0" xfId="4" applyNumberFormat="1" applyFont="1" applyFill="1"/>
    <xf numFmtId="10" fontId="2" fillId="11" borderId="0" xfId="2" applyNumberFormat="1" applyFont="1" applyFill="1"/>
    <xf numFmtId="10" fontId="0" fillId="11" borderId="0" xfId="0" applyNumberFormat="1" applyFill="1"/>
    <xf numFmtId="164" fontId="2" fillId="13" borderId="0" xfId="1" applyFont="1" applyFill="1"/>
    <xf numFmtId="0" fontId="2" fillId="13" borderId="0" xfId="0" applyFont="1" applyFill="1"/>
    <xf numFmtId="0" fontId="1" fillId="0" borderId="0" xfId="0" applyFont="1"/>
  </cellXfs>
  <cellStyles count="5">
    <cellStyle name="Millares" xfId="1" builtinId="3"/>
    <cellStyle name="Normal" xfId="0" builtinId="0"/>
    <cellStyle name="Normal_complex example terminal value for inflation ch" xfId="2"/>
    <cellStyle name="Normal_flujoversion99sincircymacro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33469400857266962"/>
          <c:y val="4.54545454545454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505683906810287"/>
          <c:y val="0.28788020774250239"/>
          <c:w val="0.55681895421663352"/>
          <c:h val="0.48485087619789841"/>
        </c:manualLayout>
      </c:layout>
      <c:barChart>
        <c:barDir val="col"/>
        <c:grouping val="clustered"/>
        <c:ser>
          <c:idx val="0"/>
          <c:order val="0"/>
          <c:tx>
            <c:strRef>
              <c:f>'histórico w dep inv'!$B$406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w dep inv'!$C$406:$N$406</c:f>
              <c:numCache>
                <c:formatCode>General</c:formatCode>
                <c:ptCount val="12"/>
                <c:pt idx="2" formatCode="0.0%">
                  <c:v>0.29126393744080464</c:v>
                </c:pt>
                <c:pt idx="3" formatCode="0.0%">
                  <c:v>0.29474755436265154</c:v>
                </c:pt>
                <c:pt idx="4" formatCode="0.0%">
                  <c:v>0.29673067837575573</c:v>
                </c:pt>
                <c:pt idx="5" formatCode="0.0%">
                  <c:v>0.30161154505862131</c:v>
                </c:pt>
                <c:pt idx="6" formatCode="0.0%">
                  <c:v>0.30386568886462767</c:v>
                </c:pt>
                <c:pt idx="7" formatCode="0.0%">
                  <c:v>0.3069045097115608</c:v>
                </c:pt>
                <c:pt idx="8" formatCode="0.0%">
                  <c:v>0.30992489112705801</c:v>
                </c:pt>
                <c:pt idx="9" formatCode="0.0%">
                  <c:v>0.31290470829582201</c:v>
                </c:pt>
                <c:pt idx="10" formatCode="0.0%">
                  <c:v>0.31611658963917266</c:v>
                </c:pt>
                <c:pt idx="11" formatCode="0.0%">
                  <c:v>0.3193320770919949</c:v>
                </c:pt>
              </c:numCache>
            </c:numRef>
          </c:val>
        </c:ser>
        <c:axId val="65668992"/>
        <c:axId val="65700224"/>
      </c:barChart>
      <c:catAx>
        <c:axId val="65668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5700224"/>
        <c:crosses val="autoZero"/>
        <c:auto val="1"/>
        <c:lblAlgn val="ctr"/>
        <c:lblOffset val="100"/>
        <c:tickLblSkip val="2"/>
        <c:tickMarkSkip val="1"/>
      </c:catAx>
      <c:valAx>
        <c:axId val="65700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566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88743159544804"/>
          <c:y val="0.43434557659395051"/>
          <c:w val="0.17897752099820363"/>
          <c:h val="0.19192013849500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30681818181818216"/>
          <c:y val="4.56852791878172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9697042558307284"/>
          <c:y val="0.28934010152284312"/>
          <c:w val="0.44318345756191374"/>
          <c:h val="0.48223350253807085"/>
        </c:manualLayout>
      </c:layout>
      <c:barChart>
        <c:barDir val="col"/>
        <c:grouping val="clustered"/>
        <c:ser>
          <c:idx val="0"/>
          <c:order val="0"/>
          <c:tx>
            <c:strRef>
              <c:f>'histórico w dep inv'!$B$407</c:f>
              <c:strCache>
                <c:ptCount val="1"/>
                <c:pt idx="0">
                  <c:v>Operating margin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w dep inv'!$C$407:$N$407</c:f>
              <c:numCache>
                <c:formatCode>General</c:formatCode>
                <c:ptCount val="12"/>
                <c:pt idx="2" formatCode="0.0%">
                  <c:v>3.9216275608776253E-2</c:v>
                </c:pt>
                <c:pt idx="3" formatCode="0.0%">
                  <c:v>5.8335208000078936E-2</c:v>
                </c:pt>
                <c:pt idx="4" formatCode="0.0%">
                  <c:v>6.8397465882396882E-2</c:v>
                </c:pt>
                <c:pt idx="5" formatCode="0.0%">
                  <c:v>8.328462798203487E-2</c:v>
                </c:pt>
                <c:pt idx="6" formatCode="0.0%">
                  <c:v>7.1405118939790777E-2</c:v>
                </c:pt>
                <c:pt idx="7" formatCode="0.0%">
                  <c:v>8.8544555766423241E-2</c:v>
                </c:pt>
                <c:pt idx="8" formatCode="0.0%">
                  <c:v>9.3882616588179049E-2</c:v>
                </c:pt>
                <c:pt idx="9" formatCode="0.0%">
                  <c:v>9.8003737886757369E-2</c:v>
                </c:pt>
                <c:pt idx="10" formatCode="0.0%">
                  <c:v>9.4233047223083524E-2</c:v>
                </c:pt>
                <c:pt idx="11" formatCode="0.0%">
                  <c:v>9.8165633408707584E-2</c:v>
                </c:pt>
              </c:numCache>
            </c:numRef>
          </c:val>
        </c:ser>
        <c:axId val="67229952"/>
        <c:axId val="67277568"/>
      </c:barChart>
      <c:catAx>
        <c:axId val="67229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77568"/>
        <c:crosses val="autoZero"/>
        <c:auto val="1"/>
        <c:lblAlgn val="ctr"/>
        <c:lblOffset val="100"/>
        <c:tickLblSkip val="2"/>
        <c:tickMarkSkip val="1"/>
      </c:catAx>
      <c:valAx>
        <c:axId val="67277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722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182056788356005"/>
          <c:y val="0.43654822335025423"/>
          <c:w val="0.96970054879503698"/>
          <c:h val="0.629441624365483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37500000000000022"/>
          <c:y val="4.56852791878172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9711966199032321"/>
          <c:y val="0.28992996554780209"/>
          <c:w val="0.41698390036414573"/>
          <c:h val="0.48321660924633592"/>
        </c:manualLayout>
      </c:layout>
      <c:barChart>
        <c:barDir val="col"/>
        <c:grouping val="clustered"/>
        <c:ser>
          <c:idx val="0"/>
          <c:order val="0"/>
          <c:tx>
            <c:strRef>
              <c:f>'histórico w dep inv'!$B$408</c:f>
              <c:strCache>
                <c:ptCount val="1"/>
                <c:pt idx="0">
                  <c:v>Net margin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w dep inv'!$C$408:$N$408</c:f>
              <c:numCache>
                <c:formatCode>General</c:formatCode>
                <c:ptCount val="12"/>
                <c:pt idx="2" formatCode="0.0%">
                  <c:v>2.5490579145704566E-2</c:v>
                </c:pt>
                <c:pt idx="3" formatCode="0.0%">
                  <c:v>3.7917885200051307E-2</c:v>
                </c:pt>
                <c:pt idx="4" formatCode="0.0%">
                  <c:v>4.4458352823557978E-2</c:v>
                </c:pt>
                <c:pt idx="5" formatCode="0.0%">
                  <c:v>5.4135008188322668E-2</c:v>
                </c:pt>
                <c:pt idx="6" formatCode="0.0%">
                  <c:v>4.6413327310864005E-2</c:v>
                </c:pt>
                <c:pt idx="7" formatCode="0.0%">
                  <c:v>5.7553961248175113E-2</c:v>
                </c:pt>
                <c:pt idx="8" formatCode="0.0%">
                  <c:v>6.1023700782316379E-2</c:v>
                </c:pt>
                <c:pt idx="9" formatCode="0.0%">
                  <c:v>6.370242962639229E-2</c:v>
                </c:pt>
                <c:pt idx="10" formatCode="0.0%">
                  <c:v>6.125148069500428E-2</c:v>
                </c:pt>
                <c:pt idx="11" formatCode="0.0%">
                  <c:v>6.3807661715659936E-2</c:v>
                </c:pt>
              </c:numCache>
            </c:numRef>
          </c:val>
        </c:ser>
        <c:axId val="113723648"/>
        <c:axId val="113766784"/>
      </c:barChart>
      <c:catAx>
        <c:axId val="113723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66784"/>
        <c:crosses val="autoZero"/>
        <c:auto val="1"/>
        <c:lblAlgn val="ctr"/>
        <c:lblOffset val="100"/>
        <c:tickLblSkip val="2"/>
        <c:tickMarkSkip val="1"/>
      </c:catAx>
      <c:valAx>
        <c:axId val="11376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37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580211564463564"/>
          <c:y val="0.478129954567862"/>
          <c:w val="0.97043545693152033"/>
          <c:h val="0.590032641858853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23193916349809901"/>
          <c:y val="4.54545454545454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9771863117870733"/>
          <c:y val="0.28788020774250239"/>
          <c:w val="0.40304182509505726"/>
          <c:h val="0.48485087619789841"/>
        </c:manualLayout>
      </c:layout>
      <c:barChart>
        <c:barDir val="col"/>
        <c:grouping val="clustered"/>
        <c:ser>
          <c:idx val="0"/>
          <c:order val="0"/>
          <c:tx>
            <c:strRef>
              <c:f>'histórico w dep inv'!$B$410</c:f>
              <c:strCache>
                <c:ptCount val="1"/>
                <c:pt idx="0">
                  <c:v>EBITDA/Sales revenues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w dep inv'!$C$410:$N$410</c:f>
              <c:numCache>
                <c:formatCode>General</c:formatCode>
                <c:ptCount val="12"/>
                <c:pt idx="2" formatCode="0.0%">
                  <c:v>9.2128950112540034E-2</c:v>
                </c:pt>
                <c:pt idx="3" formatCode="0.0%">
                  <c:v>9.6099906030818999E-2</c:v>
                </c:pt>
                <c:pt idx="4" formatCode="0.0%">
                  <c:v>0.10058917806697609</c:v>
                </c:pt>
                <c:pt idx="5" formatCode="0.0%">
                  <c:v>0.10763084296622642</c:v>
                </c:pt>
                <c:pt idx="6" formatCode="0.0%">
                  <c:v>0.11220801862402684</c:v>
                </c:pt>
                <c:pt idx="7" formatCode="0.0%">
                  <c:v>0.11978150138666221</c:v>
                </c:pt>
                <c:pt idx="8" formatCode="0.0%">
                  <c:v>0.12722506367710409</c:v>
                </c:pt>
                <c:pt idx="9" formatCode="0.0%">
                  <c:v>0.13451943375012287</c:v>
                </c:pt>
                <c:pt idx="10" formatCode="0.0%">
                  <c:v>0.1436147919135245</c:v>
                </c:pt>
                <c:pt idx="11" formatCode="0.0%">
                  <c:v>0.152515931697115</c:v>
                </c:pt>
              </c:numCache>
            </c:numRef>
          </c:val>
        </c:ser>
        <c:axId val="115848704"/>
        <c:axId val="116021504"/>
      </c:barChart>
      <c:catAx>
        <c:axId val="115848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6021504"/>
        <c:crosses val="autoZero"/>
        <c:auto val="1"/>
        <c:lblAlgn val="ctr"/>
        <c:lblOffset val="100"/>
        <c:tickLblSkip val="3"/>
        <c:tickMarkSkip val="1"/>
      </c:catAx>
      <c:valAx>
        <c:axId val="116021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5848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8555133079864"/>
          <c:y val="0.39393939393939426"/>
          <c:w val="0.33079847908745297"/>
          <c:h val="0.272727272727272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33469387755102042"/>
          <c:y val="4.54545454545454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9847365233192021"/>
          <c:y val="0.28788020774250261"/>
          <c:w val="0.50381773284256626"/>
          <c:h val="0.48485087619789863"/>
        </c:manualLayout>
      </c:layout>
      <c:barChart>
        <c:barDir val="col"/>
        <c:grouping val="clustered"/>
        <c:ser>
          <c:idx val="0"/>
          <c:order val="0"/>
          <c:tx>
            <c:strRef>
              <c:f>'histórico book'!$B$376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book'!$C$376:$N$376</c:f>
              <c:numCache>
                <c:formatCode>General</c:formatCode>
                <c:ptCount val="12"/>
                <c:pt idx="2" formatCode="0.0%">
                  <c:v>0.29126393744080464</c:v>
                </c:pt>
                <c:pt idx="3" formatCode="0.0%">
                  <c:v>0.29474755436265154</c:v>
                </c:pt>
                <c:pt idx="4" formatCode="0.0%">
                  <c:v>0.29673067837575573</c:v>
                </c:pt>
                <c:pt idx="5" formatCode="0.0%">
                  <c:v>0.30161154505862131</c:v>
                </c:pt>
                <c:pt idx="6" formatCode="0.0%">
                  <c:v>0.30386568886462767</c:v>
                </c:pt>
                <c:pt idx="7" formatCode="0.0%">
                  <c:v>0.30694054236566043</c:v>
                </c:pt>
                <c:pt idx="8" formatCode="0.0%">
                  <c:v>0.30928380769206265</c:v>
                </c:pt>
                <c:pt idx="9" formatCode="0.0%">
                  <c:v>0.3123427569024867</c:v>
                </c:pt>
                <c:pt idx="10" formatCode="0.0%">
                  <c:v>0.31557598818653843</c:v>
                </c:pt>
                <c:pt idx="11" formatCode="0.0%">
                  <c:v>0.31879401744277575</c:v>
                </c:pt>
              </c:numCache>
            </c:numRef>
          </c:val>
        </c:ser>
        <c:axId val="122124544"/>
        <c:axId val="153169920"/>
      </c:barChart>
      <c:catAx>
        <c:axId val="12212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3169920"/>
        <c:crosses val="autoZero"/>
        <c:auto val="1"/>
        <c:lblAlgn val="ctr"/>
        <c:lblOffset val="100"/>
        <c:tickLblSkip val="2"/>
        <c:tickMarkSkip val="1"/>
      </c:catAx>
      <c:valAx>
        <c:axId val="153169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2124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85714285714288"/>
          <c:y val="0.43434557659395051"/>
          <c:w val="0.2244897959183674"/>
          <c:h val="0.1919201384950013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30681818181818216"/>
          <c:y val="4.56852791878172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6287939038600266"/>
          <c:y val="0.28426395939086324"/>
          <c:w val="0.51515342075572856"/>
          <c:h val="0.50761421319796951"/>
        </c:manualLayout>
      </c:layout>
      <c:barChart>
        <c:barDir val="col"/>
        <c:grouping val="clustered"/>
        <c:ser>
          <c:idx val="0"/>
          <c:order val="0"/>
          <c:tx>
            <c:strRef>
              <c:f>'histórico book'!$B$377</c:f>
              <c:strCache>
                <c:ptCount val="1"/>
                <c:pt idx="0">
                  <c:v>Operating margin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book'!$C$377:$N$377</c:f>
              <c:numCache>
                <c:formatCode>General</c:formatCode>
                <c:ptCount val="12"/>
                <c:pt idx="2" formatCode="0.0%">
                  <c:v>4.0966975888888285E-2</c:v>
                </c:pt>
                <c:pt idx="3" formatCode="0.0%">
                  <c:v>5.6471782570412861E-2</c:v>
                </c:pt>
                <c:pt idx="4" formatCode="0.0%">
                  <c:v>6.8675093881981578E-2</c:v>
                </c:pt>
                <c:pt idx="5" formatCode="0.0%">
                  <c:v>8.3412853230549727E-2</c:v>
                </c:pt>
                <c:pt idx="6" formatCode="0.0%">
                  <c:v>7.2525175435011385E-2</c:v>
                </c:pt>
                <c:pt idx="7" formatCode="0.0%">
                  <c:v>8.5613236841434626E-2</c:v>
                </c:pt>
                <c:pt idx="8" formatCode="0.0%">
                  <c:v>9.4851126831401344E-2</c:v>
                </c:pt>
                <c:pt idx="9" formatCode="0.0%">
                  <c:v>0.10346874149773358</c:v>
                </c:pt>
                <c:pt idx="10" formatCode="0.0%">
                  <c:v>3.4194761122537332E-2</c:v>
                </c:pt>
                <c:pt idx="11" formatCode="0.0%">
                  <c:v>4.7747029659887252E-2</c:v>
                </c:pt>
              </c:numCache>
            </c:numRef>
          </c:val>
        </c:ser>
        <c:axId val="153746816"/>
        <c:axId val="161106944"/>
      </c:barChart>
      <c:catAx>
        <c:axId val="153746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106944"/>
        <c:crosses val="autoZero"/>
        <c:auto val="1"/>
        <c:lblAlgn val="ctr"/>
        <c:lblOffset val="100"/>
        <c:tickLblSkip val="2"/>
        <c:tickMarkSkip val="1"/>
      </c:catAx>
      <c:valAx>
        <c:axId val="161106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3746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82070394140604"/>
          <c:y val="0.41624365482233483"/>
          <c:w val="0.28787985277526057"/>
          <c:h val="0.192893401015228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37500000000000022"/>
          <c:y val="4.56852791878172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9711966199032321"/>
          <c:y val="0.28992996554780243"/>
          <c:w val="0.41698390036414601"/>
          <c:h val="0.48321660924633592"/>
        </c:manualLayout>
      </c:layout>
      <c:barChart>
        <c:barDir val="col"/>
        <c:grouping val="clustered"/>
        <c:ser>
          <c:idx val="0"/>
          <c:order val="0"/>
          <c:tx>
            <c:strRef>
              <c:f>'histórico book'!$B$378</c:f>
              <c:strCache>
                <c:ptCount val="1"/>
                <c:pt idx="0">
                  <c:v>Net margin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book'!$C$378:$N$378</c:f>
              <c:numCache>
                <c:formatCode>General</c:formatCode>
                <c:ptCount val="12"/>
                <c:pt idx="2" formatCode="0.0%">
                  <c:v>2.6628534327777387E-2</c:v>
                </c:pt>
                <c:pt idx="3" formatCode="0.0%">
                  <c:v>3.6706658670768361E-2</c:v>
                </c:pt>
                <c:pt idx="4" formatCode="0.0%">
                  <c:v>4.4638811023288025E-2</c:v>
                </c:pt>
                <c:pt idx="5" formatCode="0.0%">
                  <c:v>5.421835459985732E-2</c:v>
                </c:pt>
                <c:pt idx="6" formatCode="0.0%">
                  <c:v>4.7141364032757399E-2</c:v>
                </c:pt>
                <c:pt idx="7" formatCode="0.0%">
                  <c:v>5.5648603946932509E-2</c:v>
                </c:pt>
                <c:pt idx="8" formatCode="0.0%">
                  <c:v>6.1653232440410877E-2</c:v>
                </c:pt>
                <c:pt idx="9" formatCode="0.0%">
                  <c:v>6.7254681973526839E-2</c:v>
                </c:pt>
                <c:pt idx="10" formatCode="0.0%">
                  <c:v>2.2226594729649263E-2</c:v>
                </c:pt>
                <c:pt idx="11" formatCode="0.0%">
                  <c:v>3.1035569278926714E-2</c:v>
                </c:pt>
              </c:numCache>
            </c:numRef>
          </c:val>
        </c:ser>
        <c:axId val="160507392"/>
        <c:axId val="160508928"/>
      </c:barChart>
      <c:catAx>
        <c:axId val="160507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508928"/>
        <c:crosses val="autoZero"/>
        <c:auto val="1"/>
        <c:lblAlgn val="ctr"/>
        <c:lblOffset val="100"/>
        <c:tickLblSkip val="2"/>
        <c:tickMarkSkip val="1"/>
      </c:catAx>
      <c:valAx>
        <c:axId val="160508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50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580195239088435"/>
          <c:y val="0.47813011862269028"/>
          <c:w val="0.3146333066384005"/>
          <c:h val="0.111902793720204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layout>
        <c:manualLayout>
          <c:xMode val="edge"/>
          <c:yMode val="edge"/>
          <c:x val="0.23193916349809901"/>
          <c:y val="4.545454545454546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plotArea>
      <c:layout>
        <c:manualLayout>
          <c:layoutTarget val="inner"/>
          <c:xMode val="edge"/>
          <c:yMode val="edge"/>
          <c:x val="0.19771863117870739"/>
          <c:y val="0.28788020774250261"/>
          <c:w val="0.40304182509505732"/>
          <c:h val="0.48485087619789863"/>
        </c:manualLayout>
      </c:layout>
      <c:barChart>
        <c:barDir val="col"/>
        <c:grouping val="clustered"/>
        <c:ser>
          <c:idx val="0"/>
          <c:order val="0"/>
          <c:tx>
            <c:strRef>
              <c:f>'histórico book'!$B$380</c:f>
              <c:strCache>
                <c:ptCount val="1"/>
                <c:pt idx="0">
                  <c:v>EBITDA/Sales revenues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'histórico book'!$C$380:$N$380</c:f>
              <c:numCache>
                <c:formatCode>General</c:formatCode>
                <c:ptCount val="12"/>
                <c:pt idx="2" formatCode="0.0%">
                  <c:v>9.2128950112540034E-2</c:v>
                </c:pt>
                <c:pt idx="3" formatCode="0.0%">
                  <c:v>9.6099906030818999E-2</c:v>
                </c:pt>
                <c:pt idx="4" formatCode="0.0%">
                  <c:v>0.10058917806697609</c:v>
                </c:pt>
                <c:pt idx="5" formatCode="0.0%">
                  <c:v>0.10763084296622642</c:v>
                </c:pt>
                <c:pt idx="6" formatCode="0.0%">
                  <c:v>0.11220801862402684</c:v>
                </c:pt>
                <c:pt idx="7" formatCode="0.0%">
                  <c:v>0.11709892840393125</c:v>
                </c:pt>
                <c:pt idx="8" formatCode="0.0%">
                  <c:v>0.12123672933883936</c:v>
                </c:pt>
                <c:pt idx="9" formatCode="0.0%">
                  <c:v>0.12606899702659594</c:v>
                </c:pt>
                <c:pt idx="10" formatCode="0.0%">
                  <c:v>0.13105462847832181</c:v>
                </c:pt>
                <c:pt idx="11" formatCode="0.0%">
                  <c:v>0.13600443377303395</c:v>
                </c:pt>
              </c:numCache>
            </c:numRef>
          </c:val>
        </c:ser>
        <c:axId val="160516736"/>
        <c:axId val="160522624"/>
      </c:barChart>
      <c:catAx>
        <c:axId val="160516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522624"/>
        <c:crosses val="autoZero"/>
        <c:auto val="1"/>
        <c:lblAlgn val="ctr"/>
        <c:lblOffset val="100"/>
        <c:tickLblSkip val="3"/>
        <c:tickMarkSkip val="1"/>
      </c:catAx>
      <c:valAx>
        <c:axId val="160522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516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58555133079864"/>
          <c:y val="0.38889080695039757"/>
          <c:w val="0.33079847908745297"/>
          <c:h val="0.272728617861317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78" r="0.750000000000000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394</xdr:row>
      <xdr:rowOff>171450</xdr:rowOff>
    </xdr:from>
    <xdr:to>
      <xdr:col>19</xdr:col>
      <xdr:colOff>485775</xdr:colOff>
      <xdr:row>406</xdr:row>
      <xdr:rowOff>0</xdr:rowOff>
    </xdr:to>
    <xdr:graphicFrame macro="">
      <xdr:nvGraphicFramePr>
        <xdr:cNvPr id="7008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628650</xdr:colOff>
      <xdr:row>393</xdr:row>
      <xdr:rowOff>171450</xdr:rowOff>
    </xdr:from>
    <xdr:to>
      <xdr:col>21</xdr:col>
      <xdr:colOff>400050</xdr:colOff>
      <xdr:row>404</xdr:row>
      <xdr:rowOff>85725</xdr:rowOff>
    </xdr:to>
    <xdr:graphicFrame macro="">
      <xdr:nvGraphicFramePr>
        <xdr:cNvPr id="7008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523875</xdr:colOff>
      <xdr:row>394</xdr:row>
      <xdr:rowOff>76200</xdr:rowOff>
    </xdr:from>
    <xdr:to>
      <xdr:col>25</xdr:col>
      <xdr:colOff>295275</xdr:colOff>
      <xdr:row>405</xdr:row>
      <xdr:rowOff>38100</xdr:rowOff>
    </xdr:to>
    <xdr:graphicFrame macro="">
      <xdr:nvGraphicFramePr>
        <xdr:cNvPr id="7008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85725</xdr:colOff>
      <xdr:row>407</xdr:row>
      <xdr:rowOff>38100</xdr:rowOff>
    </xdr:from>
    <xdr:to>
      <xdr:col>28</xdr:col>
      <xdr:colOff>533400</xdr:colOff>
      <xdr:row>420</xdr:row>
      <xdr:rowOff>66675</xdr:rowOff>
    </xdr:to>
    <xdr:graphicFrame macro="">
      <xdr:nvGraphicFramePr>
        <xdr:cNvPr id="7008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364</xdr:row>
      <xdr:rowOff>9525</xdr:rowOff>
    </xdr:from>
    <xdr:to>
      <xdr:col>17</xdr:col>
      <xdr:colOff>609600</xdr:colOff>
      <xdr:row>374</xdr:row>
      <xdr:rowOff>123825</xdr:rowOff>
    </xdr:to>
    <xdr:graphicFrame macro="">
      <xdr:nvGraphicFramePr>
        <xdr:cNvPr id="1621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628650</xdr:colOff>
      <xdr:row>363</xdr:row>
      <xdr:rowOff>171450</xdr:rowOff>
    </xdr:from>
    <xdr:to>
      <xdr:col>21</xdr:col>
      <xdr:colOff>400050</xdr:colOff>
      <xdr:row>374</xdr:row>
      <xdr:rowOff>85725</xdr:rowOff>
    </xdr:to>
    <xdr:graphicFrame macro="">
      <xdr:nvGraphicFramePr>
        <xdr:cNvPr id="1621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523875</xdr:colOff>
      <xdr:row>364</xdr:row>
      <xdr:rowOff>76200</xdr:rowOff>
    </xdr:from>
    <xdr:to>
      <xdr:col>25</xdr:col>
      <xdr:colOff>295275</xdr:colOff>
      <xdr:row>375</xdr:row>
      <xdr:rowOff>38100</xdr:rowOff>
    </xdr:to>
    <xdr:graphicFrame macro="">
      <xdr:nvGraphicFramePr>
        <xdr:cNvPr id="1621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85725</xdr:colOff>
      <xdr:row>377</xdr:row>
      <xdr:rowOff>38100</xdr:rowOff>
    </xdr:from>
    <xdr:to>
      <xdr:col>28</xdr:col>
      <xdr:colOff>533400</xdr:colOff>
      <xdr:row>390</xdr:row>
      <xdr:rowOff>66675</xdr:rowOff>
    </xdr:to>
    <xdr:graphicFrame macro="">
      <xdr:nvGraphicFramePr>
        <xdr:cNvPr id="1621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ojaweb\flu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opietario\Mis%20documentos\libros\decin\nuevo%20cap%206%20decin\flujo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ropietario\Mis%20documentos\Mis%20documentos%201\conf%20UBA\CIGE%20simple%20sin%20ci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formdisplay\FORMDISP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LUJO DE CAJA PROYECTO"/>
      <sheetName val="sensibilidad"/>
      <sheetName val="VPN PRECIOS K VS CTES"/>
      <sheetName val="FLUJO DE CAJA PROYECTO CTE"/>
      <sheetName val="FLUJO DE CAJA PROYECTO K"/>
      <sheetName val="PRECIOS RELATIVOS"/>
      <sheetName val="CASHFLOW"/>
      <sheetName val="FLUJO DE CAJA FINANCIADO"/>
      <sheetName val="Módulo2"/>
      <sheetName val="Módulo1"/>
      <sheetName val="Módulo4"/>
      <sheetName val="Módulo3"/>
      <sheetName val="Módulo5"/>
      <sheetName val="flu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3">
          <cell r="A253" t="str">
            <v>OTROS GASTOS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uperado_Hoja1"/>
      <sheetName val="Resumen de escenario 5"/>
      <sheetName val="FLUJO_DE_CAJA_PROYECTO"/>
      <sheetName val="AI"/>
      <sheetName val="FCL de PYG"/>
      <sheetName val="EVA"/>
      <sheetName val="sensibilidad"/>
      <sheetName val="FCL DE PARTIDAS OPERATIVAS"/>
      <sheetName val="FCL real"/>
      <sheetName val="amortizac proyecto"/>
      <sheetName val="IR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unto de equilibrio"/>
      <sheetName val="Est fin con MDO var"/>
      <sheetName val="Est fin con MDO var desc ln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FORMDISP"/>
    </sheetNames>
    <definedNames>
      <definedName name="FormDisp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0"/>
  <sheetViews>
    <sheetView zoomScaleNormal="100" workbookViewId="0">
      <pane xSplit="2" ySplit="2" topLeftCell="C34" activePane="bottomRight" state="frozen"/>
      <selection pane="topRight" activeCell="C1" sqref="C1"/>
      <selection pane="bottomLeft" activeCell="A3" sqref="A3"/>
      <selection pane="bottomRight" activeCell="B40" sqref="B40"/>
    </sheetView>
  </sheetViews>
  <sheetFormatPr baseColWidth="10" defaultRowHeight="11.25"/>
  <cols>
    <col min="1" max="1" width="4.83203125" bestFit="1" customWidth="1"/>
    <col min="2" max="2" width="46.83203125" style="58" customWidth="1"/>
    <col min="4" max="4" width="13.1640625" customWidth="1"/>
    <col min="5" max="5" width="13.5" customWidth="1"/>
    <col min="6" max="6" width="13.6640625" customWidth="1"/>
    <col min="7" max="9" width="10.1640625" customWidth="1"/>
    <col min="10" max="10" width="7.5" bestFit="1" customWidth="1"/>
    <col min="11" max="11" width="11" customWidth="1"/>
    <col min="12" max="13" width="7.5" bestFit="1" customWidth="1"/>
    <col min="16" max="16" width="12.6640625" bestFit="1" customWidth="1"/>
  </cols>
  <sheetData>
    <row r="1" spans="1:22" ht="12.75">
      <c r="A1" s="1"/>
      <c r="B1" s="12" t="s">
        <v>1</v>
      </c>
      <c r="C1" s="12" t="s">
        <v>12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3"/>
      <c r="O1" s="3"/>
      <c r="P1" s="3"/>
      <c r="Q1" s="3"/>
      <c r="R1" s="3"/>
      <c r="S1" s="3"/>
      <c r="T1" s="3"/>
      <c r="U1" s="3"/>
      <c r="V1" s="3"/>
    </row>
    <row r="2" spans="1:22" ht="15">
      <c r="A2" s="1"/>
      <c r="B2" s="2"/>
      <c r="C2" s="41" t="s">
        <v>70</v>
      </c>
      <c r="D2" s="41">
        <v>0</v>
      </c>
      <c r="E2" s="41">
        <v>1</v>
      </c>
      <c r="F2" s="41">
        <v>2</v>
      </c>
      <c r="G2" s="41">
        <v>3</v>
      </c>
      <c r="H2" s="41">
        <v>4</v>
      </c>
      <c r="I2" s="41">
        <v>5</v>
      </c>
      <c r="J2" s="41">
        <v>6</v>
      </c>
      <c r="K2" s="41">
        <v>7</v>
      </c>
      <c r="L2" s="41">
        <v>8</v>
      </c>
      <c r="M2" s="41">
        <v>9</v>
      </c>
      <c r="N2" s="41">
        <v>10</v>
      </c>
      <c r="O2" s="3"/>
      <c r="P2" s="3"/>
      <c r="Q2" s="3"/>
      <c r="R2" s="3"/>
      <c r="S2" s="3"/>
      <c r="T2" s="3"/>
      <c r="U2" s="3"/>
      <c r="V2" s="3"/>
    </row>
    <row r="3" spans="1:22" ht="12.75">
      <c r="A3" s="1">
        <f t="shared" ref="A3:A61" si="0">ROW(B3)</f>
        <v>3</v>
      </c>
      <c r="B3" s="3"/>
      <c r="J3" s="5"/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1">
        <f t="shared" si="0"/>
        <v>4</v>
      </c>
      <c r="B4" s="112" t="s">
        <v>169</v>
      </c>
      <c r="C4" s="4"/>
      <c r="D4" s="1"/>
      <c r="E4" s="1"/>
      <c r="F4" s="1"/>
      <c r="G4" s="7"/>
      <c r="H4" s="7"/>
      <c r="I4" s="1"/>
      <c r="J4" s="1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>
      <c r="A5" s="1">
        <f t="shared" si="0"/>
        <v>5</v>
      </c>
      <c r="B5" s="33" t="s">
        <v>184</v>
      </c>
      <c r="C5" s="4"/>
      <c r="D5" s="10">
        <v>45</v>
      </c>
      <c r="E5" s="1"/>
      <c r="F5" s="8"/>
      <c r="G5" s="7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>
      <c r="A6" s="1">
        <f t="shared" si="0"/>
        <v>6</v>
      </c>
      <c r="B6" s="6" t="s">
        <v>13</v>
      </c>
      <c r="C6" s="4"/>
      <c r="D6" s="10">
        <v>4</v>
      </c>
      <c r="E6" s="1"/>
      <c r="F6" s="11"/>
      <c r="G6" s="1"/>
      <c r="H6" s="3"/>
      <c r="I6" s="12"/>
      <c r="J6" s="13"/>
      <c r="K6" s="14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>
      <c r="A7" s="1">
        <f t="shared" si="0"/>
        <v>7</v>
      </c>
      <c r="B7" s="33" t="s">
        <v>170</v>
      </c>
      <c r="C7" s="4"/>
      <c r="D7" s="10">
        <v>15</v>
      </c>
      <c r="E7" s="1"/>
      <c r="F7" s="15"/>
      <c r="G7" s="1"/>
      <c r="H7" s="3"/>
      <c r="I7" s="12"/>
      <c r="J7" s="13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>
      <c r="A8" s="1">
        <f t="shared" si="0"/>
        <v>8</v>
      </c>
      <c r="B8" s="33" t="s">
        <v>171</v>
      </c>
      <c r="C8" s="4"/>
      <c r="D8" s="16">
        <v>0.35</v>
      </c>
      <c r="E8" s="1"/>
      <c r="F8" s="17"/>
      <c r="G8" s="19"/>
      <c r="H8" s="20"/>
      <c r="I8" s="21"/>
      <c r="J8" s="7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>
      <c r="A9" s="1">
        <f t="shared" si="0"/>
        <v>9</v>
      </c>
      <c r="B9" s="33" t="s">
        <v>14</v>
      </c>
      <c r="C9" s="4"/>
      <c r="D9" s="10">
        <v>4</v>
      </c>
      <c r="E9" s="1"/>
      <c r="F9" s="17"/>
      <c r="G9" s="1"/>
      <c r="H9" s="1"/>
      <c r="I9" s="23"/>
      <c r="J9" s="19"/>
      <c r="K9" s="18"/>
      <c r="L9" s="19"/>
      <c r="M9" s="18"/>
      <c r="N9" s="19"/>
      <c r="O9" s="3"/>
      <c r="P9" s="3"/>
      <c r="Q9" s="3"/>
      <c r="R9" s="3"/>
      <c r="S9" s="3"/>
      <c r="T9" s="3"/>
      <c r="U9" s="3"/>
      <c r="V9" s="3"/>
    </row>
    <row r="10" spans="1:22" ht="15">
      <c r="A10" s="1">
        <f t="shared" si="0"/>
        <v>10</v>
      </c>
      <c r="B10" s="103" t="s">
        <v>172</v>
      </c>
      <c r="C10" s="4"/>
      <c r="D10" s="10">
        <v>5</v>
      </c>
      <c r="E10" s="1"/>
      <c r="F10" s="17"/>
      <c r="G10" s="29"/>
      <c r="H10" s="30"/>
      <c r="I10" s="21"/>
      <c r="J10" s="7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>
      <c r="A11" s="1">
        <f t="shared" si="0"/>
        <v>11</v>
      </c>
      <c r="B11" s="33" t="s">
        <v>182</v>
      </c>
      <c r="C11" s="4"/>
      <c r="D11" s="10">
        <v>22</v>
      </c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0">
      <c r="A12" s="1">
        <f t="shared" si="0"/>
        <v>12</v>
      </c>
      <c r="B12" s="33" t="s">
        <v>173</v>
      </c>
      <c r="C12" s="4"/>
      <c r="D12" s="10">
        <v>24</v>
      </c>
      <c r="E12" s="32"/>
      <c r="F12" s="32"/>
      <c r="G12" s="32"/>
      <c r="H12" s="32"/>
      <c r="I12" s="32"/>
      <c r="J12" s="1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0">
      <c r="A13" s="1">
        <f t="shared" si="0"/>
        <v>13</v>
      </c>
      <c r="B13" s="33" t="s">
        <v>174</v>
      </c>
      <c r="D13" s="10">
        <v>5</v>
      </c>
      <c r="E13" s="32"/>
      <c r="F13" s="32"/>
      <c r="G13" s="32"/>
      <c r="H13" s="32"/>
      <c r="I13" s="32"/>
      <c r="J13" s="1"/>
      <c r="K13" s="3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>
      <c r="A14" s="1">
        <f t="shared" si="0"/>
        <v>14</v>
      </c>
      <c r="B14" s="33" t="s">
        <v>175</v>
      </c>
      <c r="D14" s="10">
        <v>10</v>
      </c>
      <c r="E14" s="32"/>
      <c r="F14" s="32"/>
      <c r="G14" s="32"/>
      <c r="H14" s="32"/>
      <c r="I14" s="32"/>
      <c r="J14" s="1"/>
      <c r="K14" s="3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>
      <c r="A15" s="1">
        <f t="shared" si="0"/>
        <v>15</v>
      </c>
      <c r="B15" s="33" t="s">
        <v>176</v>
      </c>
      <c r="D15" s="10">
        <v>1</v>
      </c>
      <c r="E15" s="32"/>
      <c r="F15" s="32"/>
      <c r="G15" s="32"/>
      <c r="H15" s="32"/>
      <c r="I15" s="32"/>
      <c r="J15" s="1"/>
      <c r="K15" s="3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5">
      <c r="A16" s="1">
        <f t="shared" si="0"/>
        <v>16</v>
      </c>
      <c r="B16" s="33" t="s">
        <v>177</v>
      </c>
      <c r="C16" s="2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>
      <c r="A17" s="1">
        <f t="shared" si="0"/>
        <v>17</v>
      </c>
      <c r="B17" s="33" t="s">
        <v>178</v>
      </c>
      <c r="C17" s="4"/>
      <c r="D17" s="1"/>
      <c r="E17" s="16">
        <v>0.06</v>
      </c>
      <c r="F17" s="16">
        <v>5.5E-2</v>
      </c>
      <c r="G17" s="16">
        <v>5.5E-2</v>
      </c>
      <c r="H17" s="16">
        <v>0.05</v>
      </c>
      <c r="I17" s="16">
        <v>4.4999999999999998E-2</v>
      </c>
      <c r="J17" s="16">
        <v>0.04</v>
      </c>
      <c r="K17" s="16">
        <v>3.5000000000000003E-2</v>
      </c>
      <c r="L17" s="16">
        <v>0.03</v>
      </c>
      <c r="M17" s="16">
        <v>0.03</v>
      </c>
      <c r="N17" s="16">
        <v>0.03</v>
      </c>
      <c r="O17" s="3"/>
      <c r="P17" s="3"/>
      <c r="Q17" s="3"/>
      <c r="R17" s="3"/>
      <c r="S17" s="3"/>
      <c r="T17" s="3"/>
      <c r="U17" s="3"/>
      <c r="V17" s="3"/>
    </row>
    <row r="18" spans="1:22" ht="30">
      <c r="A18" s="1">
        <f t="shared" si="0"/>
        <v>18</v>
      </c>
      <c r="B18" s="33" t="s">
        <v>179</v>
      </c>
      <c r="C18" s="4"/>
      <c r="D18" s="1"/>
      <c r="E18" s="16">
        <v>8.0000000000000002E-3</v>
      </c>
      <c r="F18" s="16">
        <v>1.0999999999999999E-2</v>
      </c>
      <c r="G18" s="16">
        <v>0.01</v>
      </c>
      <c r="H18" s="16">
        <v>1.2E-2</v>
      </c>
      <c r="I18" s="16">
        <v>8.0000000000000002E-3</v>
      </c>
      <c r="J18" s="16">
        <v>9.7999999999999858E-3</v>
      </c>
      <c r="K18" s="16">
        <v>9.7999999999999858E-3</v>
      </c>
      <c r="L18" s="16">
        <v>9.7999999999999858E-3</v>
      </c>
      <c r="M18" s="16">
        <v>9.7999999999999858E-3</v>
      </c>
      <c r="N18" s="16">
        <v>9.7999999999999858E-3</v>
      </c>
      <c r="O18" s="3"/>
      <c r="P18" s="3"/>
      <c r="Q18" s="3"/>
      <c r="R18" s="3"/>
      <c r="S18" s="3"/>
      <c r="T18" s="3"/>
      <c r="U18" s="3"/>
      <c r="V18" s="3"/>
    </row>
    <row r="19" spans="1:22" ht="30">
      <c r="A19" s="1">
        <f t="shared" si="0"/>
        <v>19</v>
      </c>
      <c r="B19" s="33" t="s">
        <v>180</v>
      </c>
      <c r="C19" s="4"/>
      <c r="D19" s="1"/>
      <c r="E19" s="16">
        <v>5.0000000000000001E-3</v>
      </c>
      <c r="F19" s="16">
        <v>6.0000000000000001E-3</v>
      </c>
      <c r="G19" s="16">
        <v>7.0000000000000001E-3</v>
      </c>
      <c r="H19" s="16">
        <v>5.0000000000000001E-3</v>
      </c>
      <c r="I19" s="16">
        <v>4.0000000000000001E-3</v>
      </c>
      <c r="J19" s="16">
        <v>5.3999999999999378E-3</v>
      </c>
      <c r="K19" s="16">
        <v>5.3999999999999378E-3</v>
      </c>
      <c r="L19" s="16">
        <v>5.3999999999999378E-3</v>
      </c>
      <c r="M19" s="16">
        <v>5.3999999999999378E-3</v>
      </c>
      <c r="N19" s="16">
        <v>5.3999999999999378E-3</v>
      </c>
      <c r="O19" s="3"/>
      <c r="P19" s="3"/>
      <c r="Q19" s="3"/>
      <c r="R19" s="3"/>
      <c r="S19" s="3"/>
      <c r="T19" s="3"/>
      <c r="U19" s="3"/>
      <c r="V19" s="3"/>
    </row>
    <row r="20" spans="1:22" ht="30">
      <c r="A20" s="1">
        <f t="shared" si="0"/>
        <v>20</v>
      </c>
      <c r="B20" s="33" t="s">
        <v>181</v>
      </c>
      <c r="C20" s="4"/>
      <c r="D20" s="7"/>
      <c r="E20" s="16">
        <v>5.0000000000000001E-3</v>
      </c>
      <c r="F20" s="16">
        <v>0.01</v>
      </c>
      <c r="G20" s="16">
        <v>4.0000000000000001E-3</v>
      </c>
      <c r="H20" s="16">
        <v>8.0000000000000002E-3</v>
      </c>
      <c r="I20" s="16">
        <v>1.2E-2</v>
      </c>
      <c r="J20" s="16">
        <v>8.5000000000000075E-3</v>
      </c>
      <c r="K20" s="16">
        <v>8.5000000000000075E-3</v>
      </c>
      <c r="L20" s="16">
        <v>8.5000000000000075E-3</v>
      </c>
      <c r="M20" s="16">
        <v>8.5000000000000075E-3</v>
      </c>
      <c r="N20" s="16">
        <v>8.5000000000000075E-3</v>
      </c>
      <c r="O20" s="3"/>
      <c r="P20" s="3"/>
      <c r="Q20" s="3"/>
      <c r="R20" s="3"/>
      <c r="S20" s="3"/>
      <c r="T20" s="3"/>
      <c r="U20" s="3"/>
      <c r="V20" s="3"/>
    </row>
    <row r="21" spans="1:22" ht="30">
      <c r="A21" s="1">
        <f t="shared" si="0"/>
        <v>21</v>
      </c>
      <c r="B21" s="33" t="s">
        <v>183</v>
      </c>
      <c r="C21" s="4"/>
      <c r="D21" s="1"/>
      <c r="E21" s="16">
        <v>1.4999999999999999E-2</v>
      </c>
      <c r="F21" s="16">
        <v>0.02</v>
      </c>
      <c r="G21" s="16">
        <v>0.01</v>
      </c>
      <c r="H21" s="16">
        <v>1.0999999999999999E-2</v>
      </c>
      <c r="I21" s="16">
        <v>8.0000000000000002E-3</v>
      </c>
      <c r="J21" s="16">
        <v>1.9120254993220231E-2</v>
      </c>
      <c r="K21" s="16">
        <v>1.9120254993220231E-2</v>
      </c>
      <c r="L21" s="16">
        <v>1.9120254993220231E-2</v>
      </c>
      <c r="M21" s="16">
        <v>1.9120254993220231E-2</v>
      </c>
      <c r="N21" s="16">
        <v>1.9120254993220231E-2</v>
      </c>
      <c r="O21" s="3"/>
      <c r="P21" s="3"/>
      <c r="Q21" s="3"/>
      <c r="R21" s="3"/>
      <c r="S21" s="3"/>
      <c r="T21" s="3"/>
      <c r="U21" s="3"/>
      <c r="V21" s="3"/>
    </row>
    <row r="22" spans="1:22" ht="30">
      <c r="A22" s="1">
        <f t="shared" si="0"/>
        <v>22</v>
      </c>
      <c r="B22" s="33" t="s">
        <v>185</v>
      </c>
      <c r="C22" s="4"/>
      <c r="D22" s="1"/>
      <c r="E22" s="16">
        <v>2E-3</v>
      </c>
      <c r="F22" s="16">
        <v>3.0000000000000001E-3</v>
      </c>
      <c r="G22" s="16">
        <v>4.0000000000000001E-3</v>
      </c>
      <c r="H22" s="16">
        <v>1E-3</v>
      </c>
      <c r="I22" s="16">
        <v>5.0000000000000001E-3</v>
      </c>
      <c r="J22" s="16">
        <v>2E-3</v>
      </c>
      <c r="K22" s="16">
        <v>2E-3</v>
      </c>
      <c r="L22" s="16">
        <v>2E-3</v>
      </c>
      <c r="M22" s="16">
        <v>2E-3</v>
      </c>
      <c r="N22" s="16">
        <v>2E-3</v>
      </c>
      <c r="O22" s="3"/>
      <c r="P22" s="3"/>
      <c r="Q22" s="3"/>
      <c r="R22" s="3"/>
      <c r="S22" s="3"/>
      <c r="T22" s="3"/>
      <c r="U22" s="3"/>
      <c r="V22" s="3"/>
    </row>
    <row r="23" spans="1:22" ht="30">
      <c r="A23" s="1">
        <f t="shared" si="0"/>
        <v>23</v>
      </c>
      <c r="B23" s="33" t="s">
        <v>186</v>
      </c>
      <c r="C23" s="4"/>
      <c r="D23" s="1"/>
      <c r="E23" s="16">
        <v>0</v>
      </c>
      <c r="F23" s="16">
        <v>8.0000000000000002E-3</v>
      </c>
      <c r="G23" s="16">
        <v>1.7000000000000001E-2</v>
      </c>
      <c r="H23" s="16">
        <v>1.4999999999999999E-2</v>
      </c>
      <c r="I23" s="16">
        <v>2.1000000000000001E-2</v>
      </c>
      <c r="J23" s="16">
        <v>1.524999999999993E-2</v>
      </c>
      <c r="K23" s="16">
        <v>1.524999999999993E-2</v>
      </c>
      <c r="L23" s="16">
        <v>1.524999999999993E-2</v>
      </c>
      <c r="M23" s="16">
        <v>1.524999999999993E-2</v>
      </c>
      <c r="N23" s="16">
        <v>1.524999999999993E-2</v>
      </c>
      <c r="O23" s="3"/>
      <c r="P23" s="3"/>
      <c r="Q23" s="3"/>
      <c r="R23" s="3"/>
      <c r="S23" s="3"/>
      <c r="T23" s="3"/>
      <c r="U23" s="3"/>
      <c r="V23" s="3"/>
    </row>
    <row r="24" spans="1:22" ht="15">
      <c r="A24" s="1">
        <f t="shared" si="0"/>
        <v>24</v>
      </c>
      <c r="B24" s="33" t="s">
        <v>187</v>
      </c>
      <c r="C24" s="4"/>
      <c r="D24" s="1"/>
      <c r="E24" s="16">
        <v>0.02</v>
      </c>
      <c r="F24" s="16">
        <v>0.03</v>
      </c>
      <c r="G24" s="16">
        <v>0.04</v>
      </c>
      <c r="H24" s="16">
        <v>0.01</v>
      </c>
      <c r="I24" s="16">
        <v>0.02</v>
      </c>
      <c r="J24" s="16">
        <f>AVERAGE(E24:I24)</f>
        <v>2.4E-2</v>
      </c>
      <c r="K24" s="16">
        <f>+J24</f>
        <v>2.4E-2</v>
      </c>
      <c r="L24" s="16">
        <f>+K24</f>
        <v>2.4E-2</v>
      </c>
      <c r="M24" s="16">
        <f>+L24</f>
        <v>2.4E-2</v>
      </c>
      <c r="N24" s="16">
        <f>+M24</f>
        <v>2.4E-2</v>
      </c>
      <c r="O24" s="3"/>
      <c r="P24" s="3"/>
      <c r="Q24" s="3"/>
      <c r="R24" s="3"/>
      <c r="S24" s="3"/>
      <c r="T24" s="3"/>
      <c r="U24" s="3"/>
      <c r="V24" s="3"/>
    </row>
    <row r="25" spans="1:22" ht="30">
      <c r="A25" s="1">
        <f t="shared" si="0"/>
        <v>25</v>
      </c>
      <c r="B25" s="33" t="s">
        <v>188</v>
      </c>
      <c r="C25" s="4"/>
      <c r="D25" s="1"/>
      <c r="E25" s="26">
        <v>0.05</v>
      </c>
      <c r="F25" s="26">
        <v>4.9200000000000001E-2</v>
      </c>
      <c r="G25" s="26">
        <v>5.2999999999999999E-2</v>
      </c>
      <c r="H25" s="26">
        <v>5.1999999999999998E-2</v>
      </c>
      <c r="I25" s="26">
        <v>4.9000000000000002E-2</v>
      </c>
      <c r="J25" s="113">
        <v>5.0639999999999977E-2</v>
      </c>
      <c r="K25" s="113">
        <v>5.0639999999999977E-2</v>
      </c>
      <c r="L25" s="113">
        <v>5.0639999999999977E-2</v>
      </c>
      <c r="M25" s="113">
        <v>5.0639999999999977E-2</v>
      </c>
      <c r="N25" s="113">
        <v>5.0639999999999977E-2</v>
      </c>
      <c r="O25" s="3"/>
      <c r="P25" s="3"/>
      <c r="Q25" s="3"/>
      <c r="R25" s="3"/>
      <c r="S25" s="3"/>
      <c r="T25" s="3"/>
      <c r="U25" s="3"/>
      <c r="V25" s="3"/>
    </row>
    <row r="26" spans="1:22" ht="12.75">
      <c r="A26" s="1">
        <f t="shared" si="0"/>
        <v>26</v>
      </c>
      <c r="B26" s="3"/>
      <c r="C26" s="28"/>
      <c r="D26" s="3"/>
      <c r="E26" s="3"/>
      <c r="F26" s="3"/>
      <c r="G26" s="3"/>
      <c r="H26" s="3"/>
      <c r="I26" s="40"/>
      <c r="J26" s="35"/>
      <c r="K26" s="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15">
      <c r="A27" s="1">
        <f t="shared" si="0"/>
        <v>27</v>
      </c>
      <c r="B27" s="112" t="s">
        <v>189</v>
      </c>
      <c r="C27" s="41" t="s">
        <v>70</v>
      </c>
      <c r="D27" s="41">
        <v>0</v>
      </c>
      <c r="E27" s="41">
        <v>1</v>
      </c>
      <c r="F27" s="41">
        <v>2</v>
      </c>
      <c r="G27" s="41">
        <v>3</v>
      </c>
      <c r="H27" s="41">
        <v>4</v>
      </c>
      <c r="I27" s="41">
        <v>5</v>
      </c>
      <c r="J27" s="1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30">
      <c r="A28" s="1">
        <f t="shared" si="0"/>
        <v>28</v>
      </c>
      <c r="B28" s="33" t="s">
        <v>190</v>
      </c>
      <c r="C28" s="4"/>
      <c r="D28" s="1"/>
      <c r="E28" s="16">
        <v>0.03</v>
      </c>
      <c r="F28" s="16">
        <v>2.7E-2</v>
      </c>
      <c r="G28" s="16">
        <v>3.1E-2</v>
      </c>
      <c r="H28" s="16">
        <v>3.2000000000000001E-2</v>
      </c>
      <c r="I28" s="16">
        <v>2.9000000000000001E-2</v>
      </c>
      <c r="J28" s="18">
        <v>2.98E-2</v>
      </c>
      <c r="K28" s="18">
        <v>2.98E-2</v>
      </c>
      <c r="L28" s="18">
        <v>2.98E-2</v>
      </c>
      <c r="M28" s="18">
        <v>2.98E-2</v>
      </c>
      <c r="N28" s="18">
        <v>2.98E-2</v>
      </c>
      <c r="O28" s="3"/>
      <c r="P28" s="3"/>
      <c r="Q28" s="3"/>
      <c r="R28" s="3"/>
      <c r="S28" s="3"/>
      <c r="T28" s="3"/>
      <c r="U28" s="3"/>
      <c r="V28" s="3"/>
    </row>
    <row r="29" spans="1:22" ht="30">
      <c r="A29" s="1">
        <f t="shared" si="0"/>
        <v>29</v>
      </c>
      <c r="B29" s="33" t="s">
        <v>191</v>
      </c>
      <c r="C29" s="4"/>
      <c r="D29" s="1"/>
      <c r="E29" s="74">
        <v>8.3333333333333301E-2</v>
      </c>
      <c r="F29" s="74">
        <v>0.08</v>
      </c>
      <c r="G29" s="74">
        <v>0.09</v>
      </c>
      <c r="H29" s="74">
        <v>8.5000000000000006E-2</v>
      </c>
      <c r="I29" s="74">
        <v>8.4000000000000005E-2</v>
      </c>
      <c r="J29" s="18">
        <v>8.4466666666666662E-2</v>
      </c>
      <c r="K29" s="18">
        <v>8.4466666666666662E-2</v>
      </c>
      <c r="L29" s="18">
        <v>8.4466666666666662E-2</v>
      </c>
      <c r="M29" s="18">
        <v>8.4466666666666662E-2</v>
      </c>
      <c r="N29" s="18">
        <v>8.4466666666666662E-2</v>
      </c>
      <c r="O29" s="3"/>
      <c r="P29" s="3"/>
      <c r="Q29" s="3"/>
      <c r="R29" s="3"/>
      <c r="S29" s="3"/>
      <c r="T29" s="3"/>
      <c r="U29" s="3"/>
      <c r="V29" s="3"/>
    </row>
    <row r="30" spans="1:22" ht="30">
      <c r="A30" s="1">
        <f t="shared" si="0"/>
        <v>30</v>
      </c>
      <c r="B30" s="33" t="s">
        <v>192</v>
      </c>
      <c r="C30" s="4"/>
      <c r="D30" s="1"/>
      <c r="E30" s="16">
        <v>0.05</v>
      </c>
      <c r="F30" s="16">
        <v>0.06</v>
      </c>
      <c r="G30" s="16">
        <v>0.04</v>
      </c>
      <c r="H30" s="16">
        <v>7.0000000000000007E-2</v>
      </c>
      <c r="I30" s="16">
        <v>0.03</v>
      </c>
      <c r="J30" s="1"/>
      <c r="K30" s="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30">
      <c r="A31" s="1">
        <f t="shared" si="0"/>
        <v>31</v>
      </c>
      <c r="B31" s="33" t="s">
        <v>193</v>
      </c>
      <c r="C31" s="4"/>
      <c r="D31" s="1"/>
      <c r="E31" s="16">
        <v>0.1</v>
      </c>
      <c r="F31" s="16">
        <v>0.11</v>
      </c>
      <c r="G31" s="16">
        <v>0.12</v>
      </c>
      <c r="H31" s="16">
        <v>7.0000000000000007E-2</v>
      </c>
      <c r="I31" s="16">
        <v>0.08</v>
      </c>
      <c r="J31" s="1"/>
      <c r="K31" s="1"/>
      <c r="L31" s="31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31.5" customHeight="1">
      <c r="A32" s="1">
        <f t="shared" si="0"/>
        <v>32</v>
      </c>
      <c r="B32" s="33" t="s">
        <v>194</v>
      </c>
      <c r="C32" s="4"/>
      <c r="D32" s="1"/>
      <c r="E32" s="16">
        <v>0.7</v>
      </c>
      <c r="F32" s="16">
        <v>0.73</v>
      </c>
      <c r="G32" s="16">
        <v>0.77</v>
      </c>
      <c r="H32" s="16">
        <v>0.6</v>
      </c>
      <c r="I32" s="16">
        <v>0.65</v>
      </c>
      <c r="J32" s="1"/>
      <c r="K32" s="1"/>
      <c r="L32" s="31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30">
      <c r="A33" s="1">
        <f t="shared" si="0"/>
        <v>33</v>
      </c>
      <c r="B33" s="33" t="s">
        <v>195</v>
      </c>
      <c r="C33" s="4"/>
      <c r="D33" s="1"/>
      <c r="E33" s="22">
        <v>10</v>
      </c>
      <c r="F33" s="22">
        <v>11</v>
      </c>
      <c r="G33" s="22">
        <v>12</v>
      </c>
      <c r="H33" s="22">
        <v>13</v>
      </c>
      <c r="I33" s="22">
        <v>14</v>
      </c>
      <c r="J33" s="130">
        <v>14.765261009503927</v>
      </c>
      <c r="K33" s="130">
        <v>15.667144277361617</v>
      </c>
      <c r="L33" s="130">
        <v>16.543806127108432</v>
      </c>
      <c r="M33" s="130">
        <v>17.469521970690742</v>
      </c>
      <c r="N33" s="130">
        <v>18.447036645598519</v>
      </c>
      <c r="O33" s="3"/>
      <c r="P33" s="3"/>
      <c r="Q33" s="3"/>
      <c r="R33" s="3"/>
      <c r="S33" s="3"/>
      <c r="T33" s="3"/>
      <c r="U33" s="3"/>
      <c r="V33" s="3"/>
    </row>
    <row r="34" spans="1:22" ht="75">
      <c r="A34" s="1">
        <f t="shared" si="0"/>
        <v>34</v>
      </c>
      <c r="B34" s="33" t="s">
        <v>196</v>
      </c>
      <c r="C34" s="4"/>
      <c r="D34" s="10">
        <v>13</v>
      </c>
      <c r="E34" s="26"/>
      <c r="F34" s="26"/>
      <c r="G34" s="26"/>
      <c r="H34" s="26"/>
      <c r="I34" s="26"/>
      <c r="J34" s="18">
        <v>2.6678263929277933E-2</v>
      </c>
      <c r="K34" s="18">
        <v>2.6678263929277933E-2</v>
      </c>
      <c r="L34" s="18">
        <v>2.6678263929277933E-2</v>
      </c>
      <c r="M34" s="18">
        <v>2.6678263929277933E-2</v>
      </c>
      <c r="N34" s="18">
        <v>2.6678263929277933E-2</v>
      </c>
      <c r="O34" s="3"/>
      <c r="P34" s="3"/>
      <c r="Q34" s="3"/>
      <c r="R34" s="3"/>
      <c r="S34" s="3"/>
      <c r="T34" s="3"/>
      <c r="U34" s="3"/>
      <c r="V34" s="3"/>
    </row>
    <row r="35" spans="1:22" ht="15">
      <c r="A35" s="1">
        <f t="shared" si="0"/>
        <v>35</v>
      </c>
      <c r="B35" s="33" t="s">
        <v>197</v>
      </c>
      <c r="C35" s="4"/>
      <c r="D35" s="3"/>
      <c r="E35" s="26">
        <v>0.04</v>
      </c>
      <c r="F35" s="31"/>
      <c r="G35" s="31"/>
      <c r="H35" s="31"/>
      <c r="I35" s="3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15">
      <c r="A36" s="1">
        <f t="shared" si="0"/>
        <v>36</v>
      </c>
      <c r="B36" s="33" t="s">
        <v>198</v>
      </c>
      <c r="C36" s="4"/>
      <c r="D36" s="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">
      <c r="A37" s="1">
        <f t="shared" si="0"/>
        <v>37</v>
      </c>
      <c r="B37" s="33" t="s">
        <v>199</v>
      </c>
      <c r="C37" s="4"/>
      <c r="D37" s="10">
        <v>7</v>
      </c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30">
      <c r="A38" s="1">
        <f t="shared" si="0"/>
        <v>38</v>
      </c>
      <c r="B38" s="33" t="s">
        <v>200</v>
      </c>
      <c r="C38" s="4"/>
      <c r="D38" s="10">
        <v>51</v>
      </c>
      <c r="E38" s="1"/>
      <c r="F38" s="1"/>
      <c r="G38" s="1"/>
      <c r="H38" s="1"/>
      <c r="I38" s="1"/>
      <c r="J38" s="1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5">
      <c r="A39" s="1">
        <f t="shared" si="0"/>
        <v>39</v>
      </c>
      <c r="B39" s="33" t="s">
        <v>201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3"/>
      <c r="P39" s="3"/>
      <c r="Q39" s="3"/>
      <c r="R39" s="3"/>
      <c r="S39" s="3"/>
      <c r="T39" s="3"/>
      <c r="U39" s="3"/>
      <c r="V39" s="3"/>
    </row>
    <row r="40" spans="1:22" ht="30">
      <c r="A40" s="1">
        <f t="shared" si="0"/>
        <v>40</v>
      </c>
      <c r="B40" s="112" t="s">
        <v>202</v>
      </c>
      <c r="C40" s="41" t="s">
        <v>70</v>
      </c>
      <c r="D40" s="41">
        <v>0</v>
      </c>
      <c r="E40" s="41">
        <v>1</v>
      </c>
      <c r="F40" s="41">
        <v>2</v>
      </c>
      <c r="G40" s="41">
        <v>3</v>
      </c>
      <c r="H40" s="41">
        <v>4</v>
      </c>
      <c r="I40" s="41">
        <v>5</v>
      </c>
      <c r="J40" s="75"/>
      <c r="K40" s="75"/>
      <c r="L40" s="31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">
      <c r="A41" s="1">
        <f t="shared" si="0"/>
        <v>41</v>
      </c>
      <c r="B41" s="33" t="s">
        <v>203</v>
      </c>
      <c r="C41" s="4"/>
      <c r="D41" s="1"/>
      <c r="E41" s="32">
        <f t="shared" ref="E41:N41" si="1">(1+E$17)*(1+E18)-1</f>
        <v>6.8480000000000096E-2</v>
      </c>
      <c r="F41" s="32">
        <f t="shared" si="1"/>
        <v>6.6604999999999803E-2</v>
      </c>
      <c r="G41" s="32">
        <f t="shared" si="1"/>
        <v>6.5549999999999997E-2</v>
      </c>
      <c r="H41" s="32">
        <f t="shared" si="1"/>
        <v>6.2599999999999989E-2</v>
      </c>
      <c r="I41" s="32">
        <f t="shared" si="1"/>
        <v>5.3359999999999852E-2</v>
      </c>
      <c r="J41" s="32">
        <f t="shared" si="1"/>
        <v>5.0192000000000014E-2</v>
      </c>
      <c r="K41" s="32">
        <f t="shared" si="1"/>
        <v>4.5142999999999933E-2</v>
      </c>
      <c r="L41" s="32">
        <f t="shared" si="1"/>
        <v>4.0094000000000074E-2</v>
      </c>
      <c r="M41" s="32">
        <f t="shared" si="1"/>
        <v>4.0094000000000074E-2</v>
      </c>
      <c r="N41" s="32">
        <f t="shared" si="1"/>
        <v>4.0094000000000074E-2</v>
      </c>
      <c r="O41" s="3"/>
      <c r="P41" s="3"/>
      <c r="Q41" s="3"/>
      <c r="R41" s="3"/>
      <c r="S41" s="3"/>
      <c r="T41" s="3"/>
      <c r="U41" s="3"/>
      <c r="V41" s="3"/>
    </row>
    <row r="42" spans="1:22" ht="15">
      <c r="A42" s="1">
        <f t="shared" si="0"/>
        <v>42</v>
      </c>
      <c r="B42" s="33" t="s">
        <v>204</v>
      </c>
      <c r="C42" s="4"/>
      <c r="D42" s="1"/>
      <c r="E42" s="32">
        <f t="shared" ref="E42:I45" si="2">(1+E$17)*(1+E19)-1</f>
        <v>6.5299999999999914E-2</v>
      </c>
      <c r="F42" s="32">
        <f t="shared" si="2"/>
        <v>6.1329999999999885E-2</v>
      </c>
      <c r="G42" s="32">
        <f t="shared" si="2"/>
        <v>6.2384999999999913E-2</v>
      </c>
      <c r="H42" s="32">
        <f t="shared" si="2"/>
        <v>5.5250000000000021E-2</v>
      </c>
      <c r="I42" s="32">
        <f t="shared" si="2"/>
        <v>4.9180000000000001E-2</v>
      </c>
      <c r="J42" s="32">
        <f t="shared" ref="J42:N45" si="3">(1+J$17)*(1+J19)-1</f>
        <v>4.5615999999999879E-2</v>
      </c>
      <c r="K42" s="32">
        <f t="shared" si="3"/>
        <v>4.0588999999999764E-2</v>
      </c>
      <c r="L42" s="32">
        <f t="shared" si="3"/>
        <v>3.5561999999999871E-2</v>
      </c>
      <c r="M42" s="32">
        <f t="shared" si="3"/>
        <v>3.5561999999999871E-2</v>
      </c>
      <c r="N42" s="32">
        <f t="shared" si="3"/>
        <v>3.5561999999999871E-2</v>
      </c>
      <c r="O42" s="3"/>
      <c r="P42" s="3"/>
      <c r="Q42" s="3"/>
      <c r="R42" s="3"/>
      <c r="S42" s="3"/>
      <c r="T42" s="3"/>
      <c r="U42" s="3"/>
      <c r="V42" s="3"/>
    </row>
    <row r="43" spans="1:22" ht="15">
      <c r="A43" s="1">
        <f t="shared" si="0"/>
        <v>43</v>
      </c>
      <c r="B43" s="63" t="s">
        <v>205</v>
      </c>
      <c r="C43" s="4"/>
      <c r="D43" s="1"/>
      <c r="E43" s="32">
        <f t="shared" si="2"/>
        <v>6.5299999999999914E-2</v>
      </c>
      <c r="F43" s="32">
        <f t="shared" si="2"/>
        <v>6.5549999999999997E-2</v>
      </c>
      <c r="G43" s="32">
        <f t="shared" si="2"/>
        <v>5.922000000000005E-2</v>
      </c>
      <c r="H43" s="32">
        <f t="shared" si="2"/>
        <v>5.8400000000000007E-2</v>
      </c>
      <c r="I43" s="32">
        <f t="shared" si="2"/>
        <v>5.7539999999999925E-2</v>
      </c>
      <c r="J43" s="32">
        <f t="shared" si="3"/>
        <v>4.8839999999999995E-2</v>
      </c>
      <c r="K43" s="32">
        <f t="shared" si="3"/>
        <v>4.3797499999999934E-2</v>
      </c>
      <c r="L43" s="32">
        <f t="shared" si="3"/>
        <v>3.8754999999999873E-2</v>
      </c>
      <c r="M43" s="32">
        <f t="shared" si="3"/>
        <v>3.8754999999999873E-2</v>
      </c>
      <c r="N43" s="32">
        <f t="shared" si="3"/>
        <v>3.8754999999999873E-2</v>
      </c>
      <c r="O43" s="3"/>
      <c r="P43" s="3"/>
      <c r="Q43" s="3"/>
      <c r="R43" s="3"/>
      <c r="S43" s="3"/>
      <c r="T43" s="3"/>
      <c r="U43" s="3"/>
      <c r="V43" s="3"/>
    </row>
    <row r="44" spans="1:22" ht="15">
      <c r="A44" s="1">
        <f t="shared" si="0"/>
        <v>44</v>
      </c>
      <c r="B44" s="6" t="s">
        <v>206</v>
      </c>
      <c r="C44" s="4"/>
      <c r="D44" s="1"/>
      <c r="E44" s="32">
        <f t="shared" si="2"/>
        <v>7.5899999999999856E-2</v>
      </c>
      <c r="F44" s="32">
        <f t="shared" si="2"/>
        <v>7.6100000000000056E-2</v>
      </c>
      <c r="G44" s="32">
        <f t="shared" si="2"/>
        <v>6.5549999999999997E-2</v>
      </c>
      <c r="H44" s="32">
        <f t="shared" si="2"/>
        <v>6.1549999999999994E-2</v>
      </c>
      <c r="I44" s="32">
        <f t="shared" si="2"/>
        <v>5.3359999999999852E-2</v>
      </c>
      <c r="J44" s="32">
        <f t="shared" si="3"/>
        <v>5.9885065192949227E-2</v>
      </c>
      <c r="K44" s="32">
        <f t="shared" si="3"/>
        <v>5.4789463917982895E-2</v>
      </c>
      <c r="L44" s="32">
        <f t="shared" si="3"/>
        <v>4.9693862643017006E-2</v>
      </c>
      <c r="M44" s="32">
        <f t="shared" si="3"/>
        <v>4.9693862643017006E-2</v>
      </c>
      <c r="N44" s="32">
        <f t="shared" si="3"/>
        <v>4.9693862643017006E-2</v>
      </c>
      <c r="O44" s="3"/>
      <c r="P44" s="3"/>
      <c r="Q44" s="3"/>
      <c r="R44" s="3"/>
      <c r="S44" s="3"/>
      <c r="T44" s="3"/>
      <c r="U44" s="3"/>
      <c r="V44" s="3"/>
    </row>
    <row r="45" spans="1:22" ht="30">
      <c r="A45" s="1">
        <f t="shared" si="0"/>
        <v>45</v>
      </c>
      <c r="B45" s="33" t="s">
        <v>207</v>
      </c>
      <c r="C45" s="4"/>
      <c r="D45" s="1"/>
      <c r="E45" s="32">
        <f t="shared" si="2"/>
        <v>6.2119999999999953E-2</v>
      </c>
      <c r="F45" s="32">
        <f t="shared" si="2"/>
        <v>5.81649999999998E-2</v>
      </c>
      <c r="G45" s="32">
        <f t="shared" si="2"/>
        <v>5.922000000000005E-2</v>
      </c>
      <c r="H45" s="32">
        <f t="shared" si="2"/>
        <v>5.105000000000004E-2</v>
      </c>
      <c r="I45" s="32">
        <f t="shared" si="2"/>
        <v>5.0224999999999742E-2</v>
      </c>
      <c r="J45" s="32">
        <f t="shared" si="3"/>
        <v>4.2080000000000117E-2</v>
      </c>
      <c r="K45" s="32">
        <f t="shared" si="3"/>
        <v>3.7069999999999936E-2</v>
      </c>
      <c r="L45" s="32">
        <f t="shared" si="3"/>
        <v>3.2059999999999977E-2</v>
      </c>
      <c r="M45" s="32">
        <f t="shared" si="3"/>
        <v>3.2059999999999977E-2</v>
      </c>
      <c r="N45" s="32">
        <f t="shared" si="3"/>
        <v>3.2059999999999977E-2</v>
      </c>
      <c r="O45" s="3"/>
      <c r="P45" s="3"/>
      <c r="Q45" s="3"/>
      <c r="R45" s="3"/>
      <c r="S45" s="3"/>
      <c r="T45" s="3"/>
      <c r="U45" s="3"/>
      <c r="V45" s="3"/>
    </row>
    <row r="46" spans="1:22" ht="12.75">
      <c r="A46" s="1">
        <f t="shared" si="0"/>
        <v>46</v>
      </c>
      <c r="B46" s="38"/>
      <c r="C46" s="4"/>
      <c r="D46" s="1"/>
      <c r="E46" s="1"/>
      <c r="F46" s="1"/>
      <c r="G46" s="1"/>
      <c r="H46" s="1"/>
      <c r="I46" s="1"/>
      <c r="J46" s="25"/>
      <c r="K46" s="2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">
      <c r="A47" s="1">
        <f t="shared" si="0"/>
        <v>47</v>
      </c>
      <c r="B47" s="6"/>
      <c r="C47" s="41" t="s">
        <v>70</v>
      </c>
      <c r="D47" s="41">
        <v>0</v>
      </c>
      <c r="E47" s="41">
        <v>1</v>
      </c>
      <c r="F47" s="41">
        <v>2</v>
      </c>
      <c r="G47" s="41">
        <v>3</v>
      </c>
      <c r="H47" s="41">
        <v>4</v>
      </c>
      <c r="I47" s="41">
        <v>5</v>
      </c>
      <c r="J47" s="75"/>
      <c r="K47" s="75"/>
      <c r="L47" s="1"/>
      <c r="M47" s="1"/>
      <c r="N47" s="3"/>
      <c r="O47" s="3"/>
      <c r="P47" s="3"/>
      <c r="Q47" s="3"/>
      <c r="R47" s="3"/>
      <c r="S47" s="3"/>
      <c r="T47" s="3"/>
      <c r="U47" s="3"/>
      <c r="V47" s="3"/>
    </row>
    <row r="48" spans="1:22" ht="30">
      <c r="A48" s="1">
        <f t="shared" si="0"/>
        <v>48</v>
      </c>
      <c r="B48" s="33" t="s">
        <v>208</v>
      </c>
      <c r="C48" s="4"/>
      <c r="D48" s="1"/>
      <c r="E48" s="73">
        <f t="shared" ref="E48:N48" si="4">+(1+E23)</f>
        <v>1</v>
      </c>
      <c r="F48" s="73">
        <f t="shared" si="4"/>
        <v>1.008</v>
      </c>
      <c r="G48" s="73">
        <f t="shared" si="4"/>
        <v>1.0169999999999999</v>
      </c>
      <c r="H48" s="73">
        <f t="shared" si="4"/>
        <v>1.0149999999999999</v>
      </c>
      <c r="I48" s="73">
        <f t="shared" si="4"/>
        <v>1.0209999999999999</v>
      </c>
      <c r="J48" s="73">
        <f t="shared" si="4"/>
        <v>1.01525</v>
      </c>
      <c r="K48" s="73">
        <f t="shared" si="4"/>
        <v>1.01525</v>
      </c>
      <c r="L48" s="73">
        <f t="shared" si="4"/>
        <v>1.01525</v>
      </c>
      <c r="M48" s="73">
        <f t="shared" si="4"/>
        <v>1.01525</v>
      </c>
      <c r="N48" s="73">
        <f t="shared" si="4"/>
        <v>1.01525</v>
      </c>
      <c r="O48" s="40"/>
      <c r="P48" s="3"/>
      <c r="Q48" s="3"/>
      <c r="R48" s="3"/>
      <c r="S48" s="3"/>
      <c r="T48" s="3"/>
      <c r="U48" s="3"/>
      <c r="V48" s="3"/>
    </row>
    <row r="49" spans="1:22" ht="12.75">
      <c r="A49" s="1">
        <f t="shared" si="0"/>
        <v>49</v>
      </c>
      <c r="B49" s="38"/>
      <c r="C49" s="4"/>
      <c r="D49" s="1"/>
      <c r="E49" s="39"/>
      <c r="F49" s="39"/>
      <c r="G49" s="39"/>
      <c r="H49" s="39"/>
      <c r="I49" s="39"/>
      <c r="J49" s="25"/>
      <c r="K49" s="25"/>
      <c r="L49" s="1"/>
      <c r="M49" s="31"/>
      <c r="N49" s="3"/>
      <c r="O49" s="40"/>
      <c r="P49" s="3"/>
      <c r="Q49" s="3"/>
      <c r="R49" s="3"/>
      <c r="S49" s="3"/>
      <c r="T49" s="3"/>
      <c r="U49" s="3"/>
      <c r="V49" s="3"/>
    </row>
    <row r="50" spans="1:22" ht="30">
      <c r="A50" s="1">
        <f t="shared" si="0"/>
        <v>50</v>
      </c>
      <c r="B50" s="112" t="s">
        <v>209</v>
      </c>
      <c r="C50" s="41" t="s">
        <v>70</v>
      </c>
      <c r="D50" s="41">
        <v>0</v>
      </c>
      <c r="E50" s="41">
        <v>1</v>
      </c>
      <c r="F50" s="41">
        <v>2</v>
      </c>
      <c r="G50" s="41">
        <v>3</v>
      </c>
      <c r="H50" s="41">
        <v>4</v>
      </c>
      <c r="I50" s="41">
        <v>5</v>
      </c>
      <c r="J50" s="75"/>
      <c r="K50" s="75"/>
      <c r="L50" s="1"/>
      <c r="M50" s="31"/>
      <c r="N50" s="3"/>
      <c r="O50" s="40"/>
      <c r="P50" s="3"/>
      <c r="Q50" s="3"/>
      <c r="R50" s="3"/>
      <c r="S50" s="3"/>
      <c r="T50" s="3"/>
      <c r="U50" s="3"/>
      <c r="V50" s="3"/>
    </row>
    <row r="51" spans="1:22" ht="15">
      <c r="A51" s="1">
        <f t="shared" si="0"/>
        <v>51</v>
      </c>
      <c r="B51" s="33" t="s">
        <v>210</v>
      </c>
      <c r="C51" s="4"/>
      <c r="D51" s="30"/>
      <c r="E51" s="7">
        <f>+D38</f>
        <v>51</v>
      </c>
      <c r="F51" s="7">
        <f t="shared" ref="F51:N51" si="5">E51*F48</f>
        <v>51.408000000000001</v>
      </c>
      <c r="G51" s="7">
        <f t="shared" si="5"/>
        <v>52.281935999999995</v>
      </c>
      <c r="H51" s="7">
        <f t="shared" si="5"/>
        <v>53.066165039999987</v>
      </c>
      <c r="I51" s="7">
        <f t="shared" si="5"/>
        <v>54.180554505839979</v>
      </c>
      <c r="J51" s="7">
        <f>I51*J48</f>
        <v>55.00680796205404</v>
      </c>
      <c r="K51" s="7">
        <f t="shared" si="5"/>
        <v>55.845661783475364</v>
      </c>
      <c r="L51" s="7">
        <f t="shared" si="5"/>
        <v>56.697308125673366</v>
      </c>
      <c r="M51" s="7">
        <f t="shared" si="5"/>
        <v>57.561942074589886</v>
      </c>
      <c r="N51" s="7">
        <f t="shared" si="5"/>
        <v>58.439761691227382</v>
      </c>
      <c r="O51" s="40"/>
      <c r="P51" s="3"/>
      <c r="Q51" s="3"/>
      <c r="R51" s="3"/>
      <c r="S51" s="3"/>
      <c r="T51" s="3"/>
      <c r="U51" s="3"/>
      <c r="V51" s="3"/>
    </row>
    <row r="52" spans="1:22" ht="15">
      <c r="A52" s="1">
        <f t="shared" si="0"/>
        <v>52</v>
      </c>
      <c r="B52" s="33" t="s">
        <v>211</v>
      </c>
      <c r="C52" s="4"/>
      <c r="D52" s="7">
        <f>D37</f>
        <v>7</v>
      </c>
      <c r="E52" s="7">
        <f t="shared" ref="E52:N52" si="6">D52*(1+E41)</f>
        <v>7.4793600000000007</v>
      </c>
      <c r="F52" s="7">
        <f t="shared" si="6"/>
        <v>7.9775227727999996</v>
      </c>
      <c r="G52" s="7">
        <f t="shared" si="6"/>
        <v>8.5004493905570389</v>
      </c>
      <c r="H52" s="7">
        <f t="shared" si="6"/>
        <v>9.0325775224059086</v>
      </c>
      <c r="I52" s="7">
        <f t="shared" si="6"/>
        <v>9.5145558590014865</v>
      </c>
      <c r="J52" s="7">
        <f>I52*(1+J41)</f>
        <v>9.9921104466764898</v>
      </c>
      <c r="K52" s="7">
        <f t="shared" si="6"/>
        <v>10.443184288570807</v>
      </c>
      <c r="L52" s="7">
        <f t="shared" si="6"/>
        <v>10.861893319436765</v>
      </c>
      <c r="M52" s="7">
        <f t="shared" si="6"/>
        <v>11.297390070186264</v>
      </c>
      <c r="N52" s="7">
        <f t="shared" si="6"/>
        <v>11.750347627660313</v>
      </c>
      <c r="O52" s="3"/>
      <c r="P52" s="3"/>
      <c r="Q52" s="3"/>
      <c r="R52" s="3"/>
      <c r="S52" s="3"/>
      <c r="T52" s="3"/>
      <c r="U52" s="3"/>
      <c r="V52" s="3"/>
    </row>
    <row r="53" spans="1:22" ht="15">
      <c r="A53" s="1">
        <f t="shared" si="0"/>
        <v>53</v>
      </c>
      <c r="B53" s="33" t="s">
        <v>212</v>
      </c>
      <c r="C53" s="4"/>
      <c r="D53" s="7"/>
      <c r="E53" s="7">
        <f t="shared" ref="E53:N53" si="7">+E52*E51</f>
        <v>381.44736000000006</v>
      </c>
      <c r="F53" s="7">
        <f t="shared" si="7"/>
        <v>410.10849070410239</v>
      </c>
      <c r="G53" s="7">
        <f t="shared" si="7"/>
        <v>444.41995100834208</v>
      </c>
      <c r="H53" s="7">
        <f t="shared" si="7"/>
        <v>479.32424954058615</v>
      </c>
      <c r="I53" s="7">
        <f t="shared" si="7"/>
        <v>515.50391231748915</v>
      </c>
      <c r="J53" s="7">
        <f t="shared" si="7"/>
        <v>549.63410047596767</v>
      </c>
      <c r="K53" s="7">
        <f t="shared" si="7"/>
        <v>583.20653772202911</v>
      </c>
      <c r="L53" s="7">
        <f t="shared" si="7"/>
        <v>615.84011236029937</v>
      </c>
      <c r="M53" s="7">
        <f t="shared" si="7"/>
        <v>650.29971281410872</v>
      </c>
      <c r="N53" s="7">
        <f t="shared" si="7"/>
        <v>686.68751514954772</v>
      </c>
      <c r="O53" s="3"/>
      <c r="P53" s="3"/>
      <c r="Q53" s="3"/>
      <c r="R53" s="3"/>
      <c r="S53" s="3"/>
      <c r="T53" s="3"/>
      <c r="U53" s="3"/>
      <c r="V53" s="3"/>
    </row>
    <row r="54" spans="1:22" ht="12.75">
      <c r="A54" s="1">
        <f t="shared" si="0"/>
        <v>54</v>
      </c>
      <c r="E54" s="15"/>
      <c r="F54" s="15"/>
      <c r="G54" s="15"/>
      <c r="H54" s="15"/>
      <c r="I54" s="15"/>
      <c r="J54" s="25"/>
      <c r="K54" s="2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2.75">
      <c r="A55" s="1">
        <f t="shared" si="0"/>
        <v>55</v>
      </c>
      <c r="B55" s="3"/>
      <c r="C55" s="41" t="s">
        <v>70</v>
      </c>
      <c r="D55" s="41">
        <v>0</v>
      </c>
      <c r="E55" s="41">
        <v>1</v>
      </c>
      <c r="F55" s="41">
        <v>2</v>
      </c>
      <c r="G55" s="41">
        <v>3</v>
      </c>
      <c r="H55" s="41">
        <v>4</v>
      </c>
      <c r="I55" s="41">
        <v>5</v>
      </c>
      <c r="J55" s="25"/>
      <c r="K55" s="2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">
      <c r="A56" s="1">
        <f t="shared" si="0"/>
        <v>56</v>
      </c>
      <c r="B56" s="6" t="s">
        <v>15</v>
      </c>
      <c r="C56" s="4"/>
      <c r="D56" s="1"/>
      <c r="E56" s="17">
        <f>(1+E45)</f>
        <v>1.06212</v>
      </c>
      <c r="F56" s="17">
        <f t="shared" ref="F56:N56" si="8">E56*(1+F45)</f>
        <v>1.1238982097999997</v>
      </c>
      <c r="G56" s="17">
        <f t="shared" si="8"/>
        <v>1.1904554617843557</v>
      </c>
      <c r="H56" s="17">
        <f t="shared" si="8"/>
        <v>1.2512282131084471</v>
      </c>
      <c r="I56" s="17">
        <f t="shared" si="8"/>
        <v>1.3140711501118185</v>
      </c>
      <c r="J56" s="17">
        <f>I56*(1+J45)</f>
        <v>1.3693672641085239</v>
      </c>
      <c r="K56" s="17">
        <f t="shared" si="8"/>
        <v>1.4201297085890268</v>
      </c>
      <c r="L56" s="17">
        <f t="shared" si="8"/>
        <v>1.4656590670463909</v>
      </c>
      <c r="M56" s="17">
        <f t="shared" si="8"/>
        <v>1.5126480967358982</v>
      </c>
      <c r="N56" s="17">
        <f t="shared" si="8"/>
        <v>1.5611435947172509</v>
      </c>
      <c r="O56" s="3"/>
      <c r="P56" s="3"/>
      <c r="Q56" s="3"/>
      <c r="R56" s="3"/>
      <c r="S56" s="3"/>
      <c r="T56" s="3"/>
      <c r="U56" s="3"/>
      <c r="V56" s="3"/>
    </row>
    <row r="57" spans="1:22" ht="15">
      <c r="A57" s="1">
        <f t="shared" si="0"/>
        <v>57</v>
      </c>
      <c r="B57" s="6" t="s">
        <v>16</v>
      </c>
      <c r="C57" s="4"/>
      <c r="D57" s="1"/>
      <c r="E57" s="34"/>
      <c r="F57" s="17"/>
      <c r="G57" s="17"/>
      <c r="H57" s="17">
        <f>+H56*D5</f>
        <v>56.305269589880119</v>
      </c>
      <c r="I57" s="7"/>
      <c r="J57" s="25"/>
      <c r="K57" s="25"/>
      <c r="L57" s="3"/>
      <c r="M57" s="3">
        <f>+M56*activo_fijo</f>
        <v>68.069164353115411</v>
      </c>
      <c r="N57" s="3"/>
      <c r="O57" s="3"/>
      <c r="P57" s="3"/>
      <c r="Q57" s="3"/>
      <c r="R57" s="3"/>
      <c r="S57" s="3"/>
      <c r="T57" s="3"/>
      <c r="U57" s="3"/>
      <c r="V57" s="3"/>
    </row>
    <row r="58" spans="1:22" ht="15">
      <c r="A58" s="1">
        <f t="shared" si="0"/>
        <v>58</v>
      </c>
      <c r="B58" s="6" t="s">
        <v>17</v>
      </c>
      <c r="C58" s="4"/>
      <c r="D58" s="1"/>
      <c r="E58" s="19">
        <f>((1+E17)*(1+E24)-1)*0.95</f>
        <v>7.7140000000000153E-2</v>
      </c>
      <c r="F58" s="19">
        <f>((1+F17)*(1+F24)-1)*0.95</f>
        <v>8.2317499999999891E-2</v>
      </c>
      <c r="G58" s="19">
        <f>((1+G17)*(1+G24)-1)*0.95</f>
        <v>9.233999999999995E-2</v>
      </c>
      <c r="H58" s="19">
        <f>((1+H17)*(1+H24)-1)*0.95</f>
        <v>5.7474999999999998E-2</v>
      </c>
      <c r="I58" s="19">
        <f>((1+I17)*(1+I24)-1)*0.95</f>
        <v>6.2604999999999855E-2</v>
      </c>
      <c r="J58" s="19">
        <f>((1+J17)*(1+$E$24)-1)</f>
        <v>6.0799999999999965E-2</v>
      </c>
      <c r="K58" s="19">
        <f>((1+K17)*(1+$E$24)-1)</f>
        <v>5.5699999999999861E-2</v>
      </c>
      <c r="L58" s="19">
        <f>((1+L17)*(1+$E$24)-1)</f>
        <v>5.0599999999999978E-2</v>
      </c>
      <c r="M58" s="19">
        <f>((1+M17)*(1+$E$24)-1)</f>
        <v>5.0599999999999978E-2</v>
      </c>
      <c r="N58" s="19">
        <f>((1+N17)*(1+$E$24)-1)</f>
        <v>5.0599999999999978E-2</v>
      </c>
      <c r="O58" s="3"/>
      <c r="P58" s="3"/>
      <c r="Q58" s="3"/>
      <c r="R58" s="3"/>
      <c r="S58" s="3"/>
      <c r="T58" s="3"/>
      <c r="U58" s="3"/>
      <c r="V58" s="3"/>
    </row>
    <row r="59" spans="1:22" ht="15">
      <c r="A59" s="1">
        <f t="shared" si="0"/>
        <v>59</v>
      </c>
      <c r="B59" s="33" t="s">
        <v>19</v>
      </c>
      <c r="C59" s="4"/>
      <c r="D59" s="1"/>
      <c r="E59" s="19">
        <f>((1+E17)*(1+E24)-1)</f>
        <v>8.1200000000000161E-2</v>
      </c>
      <c r="F59" s="19">
        <f t="shared" ref="F59:N59" si="9">((1+F17)*(1+F24)-1)</f>
        <v>8.6649999999999894E-2</v>
      </c>
      <c r="G59" s="19">
        <f t="shared" si="9"/>
        <v>9.7199999999999953E-2</v>
      </c>
      <c r="H59" s="19">
        <f t="shared" si="9"/>
        <v>6.0499999999999998E-2</v>
      </c>
      <c r="I59" s="19">
        <f t="shared" si="9"/>
        <v>6.5899999999999848E-2</v>
      </c>
      <c r="J59" s="19">
        <f t="shared" si="9"/>
        <v>6.4960000000000129E-2</v>
      </c>
      <c r="K59" s="19">
        <f t="shared" si="9"/>
        <v>5.9839999999999893E-2</v>
      </c>
      <c r="L59" s="19">
        <f t="shared" si="9"/>
        <v>5.4720000000000102E-2</v>
      </c>
      <c r="M59" s="19">
        <f t="shared" si="9"/>
        <v>5.4720000000000102E-2</v>
      </c>
      <c r="N59" s="19">
        <f t="shared" si="9"/>
        <v>5.4720000000000102E-2</v>
      </c>
      <c r="O59" s="3"/>
      <c r="P59" s="3"/>
      <c r="Q59" s="3"/>
      <c r="R59" s="3"/>
      <c r="S59" s="3"/>
      <c r="T59" s="3"/>
      <c r="U59" s="3"/>
      <c r="V59" s="3"/>
    </row>
    <row r="60" spans="1:22" ht="30">
      <c r="A60" s="1">
        <f t="shared" si="0"/>
        <v>60</v>
      </c>
      <c r="B60" s="33" t="s">
        <v>18</v>
      </c>
      <c r="C60" s="4"/>
      <c r="D60" s="1"/>
      <c r="E60" s="19">
        <f t="shared" ref="E60:N60" si="10">E59+E25</f>
        <v>0.13120000000000015</v>
      </c>
      <c r="F60" s="19">
        <f t="shared" si="10"/>
        <v>0.13584999999999989</v>
      </c>
      <c r="G60" s="19">
        <f t="shared" si="10"/>
        <v>0.15019999999999994</v>
      </c>
      <c r="H60" s="19">
        <f t="shared" si="10"/>
        <v>0.11249999999999999</v>
      </c>
      <c r="I60" s="19">
        <f t="shared" si="10"/>
        <v>0.11489999999999985</v>
      </c>
      <c r="J60" s="19">
        <f t="shared" si="10"/>
        <v>0.11560000000000011</v>
      </c>
      <c r="K60" s="19">
        <f t="shared" si="10"/>
        <v>0.11047999999999987</v>
      </c>
      <c r="L60" s="19">
        <f t="shared" si="10"/>
        <v>0.10536000000000008</v>
      </c>
      <c r="M60" s="19">
        <f t="shared" si="10"/>
        <v>0.10536000000000008</v>
      </c>
      <c r="N60" s="19">
        <f t="shared" si="10"/>
        <v>0.10536000000000008</v>
      </c>
      <c r="O60" s="3"/>
      <c r="P60" s="3"/>
      <c r="Q60" s="3"/>
      <c r="R60" s="3"/>
      <c r="S60" s="3"/>
      <c r="T60" s="3"/>
      <c r="U60" s="3"/>
      <c r="V60" s="3"/>
    </row>
    <row r="61" spans="1:22" ht="15">
      <c r="A61" s="1">
        <f t="shared" si="0"/>
        <v>61</v>
      </c>
      <c r="B61" s="6"/>
      <c r="C61" s="4"/>
      <c r="D61" s="1"/>
      <c r="E61" s="1"/>
      <c r="F61" s="1"/>
      <c r="G61" s="1"/>
      <c r="H61" s="1"/>
      <c r="I61" s="1"/>
      <c r="J61" s="25"/>
      <c r="K61" s="2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">
      <c r="A62" s="1">
        <f t="shared" ref="A62:A107" si="11">ROW(B62)</f>
        <v>62</v>
      </c>
      <c r="B62" s="112" t="s">
        <v>20</v>
      </c>
      <c r="C62" s="4"/>
      <c r="D62" s="1"/>
      <c r="E62" s="1"/>
      <c r="F62" s="1"/>
      <c r="G62" s="1"/>
      <c r="H62" s="1"/>
      <c r="I62" s="1"/>
      <c r="J62" s="25"/>
      <c r="K62" s="2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">
      <c r="A63" s="1">
        <f t="shared" si="11"/>
        <v>63</v>
      </c>
      <c r="B63" s="6"/>
      <c r="C63" s="41" t="s">
        <v>70</v>
      </c>
      <c r="D63" s="41">
        <v>0</v>
      </c>
      <c r="E63" s="41">
        <v>1</v>
      </c>
      <c r="F63" s="41">
        <v>2</v>
      </c>
      <c r="G63" s="41">
        <v>3</v>
      </c>
      <c r="H63" s="41">
        <v>4</v>
      </c>
      <c r="I63" s="41">
        <v>5</v>
      </c>
      <c r="J63" s="75"/>
      <c r="K63" s="7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">
      <c r="A64" s="1">
        <f t="shared" si="11"/>
        <v>64</v>
      </c>
      <c r="B64" s="6" t="s">
        <v>21</v>
      </c>
      <c r="C64" s="4"/>
      <c r="D64" s="3"/>
      <c r="E64" s="7">
        <f t="shared" ref="E64:N64" si="12">+D68</f>
        <v>45</v>
      </c>
      <c r="F64" s="7">
        <f t="shared" si="12"/>
        <v>33.75</v>
      </c>
      <c r="G64" s="7">
        <f t="shared" si="12"/>
        <v>22.5</v>
      </c>
      <c r="H64" s="7">
        <f t="shared" si="12"/>
        <v>11.25</v>
      </c>
      <c r="I64" s="7">
        <f t="shared" si="12"/>
        <v>56.305269589880119</v>
      </c>
      <c r="J64" s="7">
        <f>+I68</f>
        <v>42.228952192410091</v>
      </c>
      <c r="K64" s="7">
        <f t="shared" si="12"/>
        <v>28.152634794940063</v>
      </c>
      <c r="L64" s="7">
        <f t="shared" si="12"/>
        <v>14.076317397470033</v>
      </c>
      <c r="M64" s="7">
        <f t="shared" si="12"/>
        <v>3.5527136788005009E-15</v>
      </c>
      <c r="N64" s="7">
        <f t="shared" si="12"/>
        <v>53.992846955645383</v>
      </c>
      <c r="O64" s="3"/>
      <c r="P64" s="3"/>
      <c r="Q64" s="3"/>
      <c r="R64" s="3"/>
      <c r="S64" s="3"/>
      <c r="T64" s="3"/>
      <c r="U64" s="3"/>
      <c r="V64" s="3"/>
    </row>
    <row r="65" spans="1:22" ht="15">
      <c r="A65" s="1">
        <f t="shared" si="11"/>
        <v>65</v>
      </c>
      <c r="B65" s="6" t="s">
        <v>22</v>
      </c>
      <c r="C65" s="4"/>
      <c r="D65" s="3"/>
      <c r="E65" s="7">
        <f>$D$68/$D$6</f>
        <v>11.25</v>
      </c>
      <c r="F65" s="7">
        <f>$D$68/$D$6</f>
        <v>11.25</v>
      </c>
      <c r="G65" s="7">
        <f>$D$68/$D$6</f>
        <v>11.25</v>
      </c>
      <c r="H65" s="7">
        <f>$D$68/$D$6</f>
        <v>11.25</v>
      </c>
      <c r="I65" s="7">
        <f>(+H67)/$D$6</f>
        <v>14.07631739747003</v>
      </c>
      <c r="J65" s="7">
        <f>+I65</f>
        <v>14.07631739747003</v>
      </c>
      <c r="K65" s="7">
        <f>+J65</f>
        <v>14.07631739747003</v>
      </c>
      <c r="L65" s="7">
        <f>+K65</f>
        <v>14.07631739747003</v>
      </c>
      <c r="M65" s="7">
        <f>+L65</f>
        <v>14.07631739747003</v>
      </c>
      <c r="N65" s="7">
        <f>+M65</f>
        <v>14.07631739747003</v>
      </c>
      <c r="O65" s="3"/>
      <c r="P65" s="3"/>
      <c r="Q65" s="3"/>
      <c r="R65" s="3"/>
      <c r="S65" s="3"/>
      <c r="T65" s="3"/>
      <c r="U65" s="3"/>
      <c r="V65" s="3"/>
    </row>
    <row r="66" spans="1:22" ht="15">
      <c r="A66" s="1">
        <f t="shared" si="11"/>
        <v>66</v>
      </c>
      <c r="B66" s="6" t="s">
        <v>23</v>
      </c>
      <c r="C66" s="4"/>
      <c r="D66" s="3"/>
      <c r="E66" s="7">
        <f t="shared" ref="E66:N66" si="13">+E65+D66</f>
        <v>11.25</v>
      </c>
      <c r="F66" s="7">
        <f t="shared" si="13"/>
        <v>22.5</v>
      </c>
      <c r="G66" s="7">
        <f t="shared" si="13"/>
        <v>33.75</v>
      </c>
      <c r="H66" s="7">
        <f t="shared" si="13"/>
        <v>45</v>
      </c>
      <c r="I66" s="7">
        <f t="shared" si="13"/>
        <v>59.076317397470028</v>
      </c>
      <c r="J66" s="7">
        <f>+J65+I66</f>
        <v>73.152634794940056</v>
      </c>
      <c r="K66" s="7">
        <f t="shared" si="13"/>
        <v>87.228952192410091</v>
      </c>
      <c r="L66" s="7">
        <f t="shared" si="13"/>
        <v>101.30526958988013</v>
      </c>
      <c r="M66" s="7">
        <f t="shared" si="13"/>
        <v>115.38158698735016</v>
      </c>
      <c r="N66" s="7">
        <f t="shared" si="13"/>
        <v>129.45790438482018</v>
      </c>
      <c r="O66" s="3"/>
      <c r="P66" s="3"/>
      <c r="Q66" s="3"/>
      <c r="R66" s="3"/>
      <c r="S66" s="3"/>
      <c r="T66" s="3"/>
      <c r="U66" s="3"/>
      <c r="V66" s="3"/>
    </row>
    <row r="67" spans="1:22" ht="15">
      <c r="A67" s="1">
        <f t="shared" si="11"/>
        <v>67</v>
      </c>
      <c r="B67" s="6" t="s">
        <v>24</v>
      </c>
      <c r="C67" s="4"/>
      <c r="D67" s="7">
        <f t="shared" ref="D67:I67" si="14">D57</f>
        <v>0</v>
      </c>
      <c r="E67" s="7">
        <f t="shared" si="14"/>
        <v>0</v>
      </c>
      <c r="F67" s="7">
        <f t="shared" si="14"/>
        <v>0</v>
      </c>
      <c r="G67" s="7">
        <f t="shared" si="14"/>
        <v>0</v>
      </c>
      <c r="H67" s="7">
        <f t="shared" si="14"/>
        <v>56.305269589880119</v>
      </c>
      <c r="I67" s="7">
        <f t="shared" si="14"/>
        <v>0</v>
      </c>
      <c r="J67" s="7">
        <f>J57</f>
        <v>0</v>
      </c>
      <c r="K67" s="7">
        <f>K57</f>
        <v>0</v>
      </c>
      <c r="L67" s="7">
        <f>L57</f>
        <v>0</v>
      </c>
      <c r="M67" s="7">
        <f>M57</f>
        <v>68.069164353115411</v>
      </c>
      <c r="N67" s="7">
        <f>N57</f>
        <v>0</v>
      </c>
      <c r="O67" s="3"/>
      <c r="P67" s="3"/>
      <c r="Q67" s="3"/>
      <c r="R67" s="3"/>
      <c r="S67" s="3"/>
      <c r="T67" s="3"/>
      <c r="U67" s="3"/>
      <c r="V67" s="3"/>
    </row>
    <row r="68" spans="1:22" ht="15">
      <c r="A68" s="1">
        <f t="shared" si="11"/>
        <v>68</v>
      </c>
      <c r="B68" s="6" t="s">
        <v>25</v>
      </c>
      <c r="C68" s="4"/>
      <c r="D68" s="7">
        <f>+D5+D67</f>
        <v>45</v>
      </c>
      <c r="E68" s="7">
        <f t="shared" ref="E68:N68" si="15">+E64-E65+E67</f>
        <v>33.75</v>
      </c>
      <c r="F68" s="7">
        <f t="shared" si="15"/>
        <v>22.5</v>
      </c>
      <c r="G68" s="7">
        <f t="shared" si="15"/>
        <v>11.25</v>
      </c>
      <c r="H68" s="7">
        <f t="shared" si="15"/>
        <v>56.305269589880119</v>
      </c>
      <c r="I68" s="7">
        <f t="shared" si="15"/>
        <v>42.228952192410091</v>
      </c>
      <c r="J68" s="7">
        <f t="shared" si="15"/>
        <v>28.152634794940063</v>
      </c>
      <c r="K68" s="7">
        <f t="shared" si="15"/>
        <v>14.076317397470033</v>
      </c>
      <c r="L68" s="7">
        <f t="shared" si="15"/>
        <v>3.5527136788005009E-15</v>
      </c>
      <c r="M68" s="7">
        <f t="shared" si="15"/>
        <v>53.992846955645383</v>
      </c>
      <c r="N68" s="7">
        <f t="shared" si="15"/>
        <v>39.916529558175355</v>
      </c>
      <c r="O68" s="3"/>
      <c r="P68" s="3"/>
      <c r="Q68" s="3"/>
      <c r="R68" s="3"/>
      <c r="S68" s="3"/>
      <c r="T68" s="3"/>
      <c r="U68" s="3"/>
      <c r="V68" s="3"/>
    </row>
    <row r="69" spans="1:22" ht="12.75">
      <c r="A69" s="1">
        <f t="shared" si="11"/>
        <v>69</v>
      </c>
      <c r="B69" s="38"/>
      <c r="C69" s="4"/>
      <c r="D69" s="7"/>
      <c r="E69" s="7"/>
      <c r="F69" s="7"/>
      <c r="G69" s="7"/>
      <c r="H69" s="7"/>
      <c r="I69" s="7"/>
      <c r="J69" s="25"/>
      <c r="K69" s="2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">
      <c r="A70" s="1">
        <f t="shared" si="11"/>
        <v>70</v>
      </c>
      <c r="B70" s="112" t="s">
        <v>67</v>
      </c>
      <c r="C70" s="4"/>
      <c r="D70" s="7"/>
      <c r="E70" s="7"/>
      <c r="F70" s="7"/>
      <c r="G70" s="7"/>
      <c r="H70" s="7"/>
      <c r="I70" s="7"/>
      <c r="J70" s="25"/>
      <c r="K70" s="2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">
      <c r="A71" s="1">
        <f t="shared" si="11"/>
        <v>71</v>
      </c>
      <c r="B71" s="6" t="s">
        <v>26</v>
      </c>
      <c r="C71" s="68" t="s">
        <v>70</v>
      </c>
      <c r="D71" s="68">
        <v>0</v>
      </c>
      <c r="E71" s="68">
        <v>1</v>
      </c>
      <c r="F71" s="68">
        <v>2</v>
      </c>
      <c r="G71" s="68">
        <v>3</v>
      </c>
      <c r="H71" s="68">
        <v>4</v>
      </c>
      <c r="I71" s="68">
        <v>5</v>
      </c>
      <c r="J71" s="75"/>
      <c r="K71" s="7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">
      <c r="A72" s="1">
        <f t="shared" si="11"/>
        <v>72</v>
      </c>
      <c r="B72" s="6" t="s">
        <v>27</v>
      </c>
      <c r="C72" s="4"/>
      <c r="D72" s="7">
        <v>0</v>
      </c>
      <c r="E72" s="7">
        <f t="shared" ref="E72:N72" si="16">+E51</f>
        <v>51</v>
      </c>
      <c r="F72" s="7">
        <f t="shared" si="16"/>
        <v>51.408000000000001</v>
      </c>
      <c r="G72" s="7">
        <f t="shared" si="16"/>
        <v>52.281935999999995</v>
      </c>
      <c r="H72" s="7">
        <f t="shared" si="16"/>
        <v>53.066165039999987</v>
      </c>
      <c r="I72" s="7">
        <f t="shared" si="16"/>
        <v>54.180554505839979</v>
      </c>
      <c r="J72" s="7">
        <f t="shared" si="16"/>
        <v>55.00680796205404</v>
      </c>
      <c r="K72" s="7">
        <f t="shared" si="16"/>
        <v>55.845661783475364</v>
      </c>
      <c r="L72" s="7">
        <f t="shared" si="16"/>
        <v>56.697308125673366</v>
      </c>
      <c r="M72" s="7">
        <f t="shared" si="16"/>
        <v>57.561942074589886</v>
      </c>
      <c r="N72" s="7">
        <f t="shared" si="16"/>
        <v>58.439761691227382</v>
      </c>
      <c r="O72" s="3"/>
      <c r="P72" s="3"/>
      <c r="Q72" s="3"/>
      <c r="R72" s="3"/>
      <c r="S72" s="3"/>
      <c r="T72" s="3"/>
      <c r="U72" s="3"/>
      <c r="V72" s="3"/>
    </row>
    <row r="73" spans="1:22" ht="15">
      <c r="A73" s="1">
        <f t="shared" si="11"/>
        <v>73</v>
      </c>
      <c r="B73" s="6" t="s">
        <v>28</v>
      </c>
      <c r="C73" s="4"/>
      <c r="D73" s="7">
        <f>+D9</f>
        <v>4</v>
      </c>
      <c r="E73" s="7">
        <f t="shared" ref="E73:N73" si="17">E72*E29</f>
        <v>4.2499999999999982</v>
      </c>
      <c r="F73" s="7">
        <f t="shared" si="17"/>
        <v>4.1126399999999999</v>
      </c>
      <c r="G73" s="7">
        <f t="shared" si="17"/>
        <v>4.7053742399999994</v>
      </c>
      <c r="H73" s="7">
        <f t="shared" si="17"/>
        <v>4.5106240283999997</v>
      </c>
      <c r="I73" s="7">
        <f t="shared" si="17"/>
        <v>4.5511665784905588</v>
      </c>
      <c r="J73" s="7">
        <f t="shared" si="17"/>
        <v>4.6462417125281643</v>
      </c>
      <c r="K73" s="7">
        <f t="shared" si="17"/>
        <v>4.7170968986442192</v>
      </c>
      <c r="L73" s="7">
        <f t="shared" si="17"/>
        <v>4.7890326263485434</v>
      </c>
      <c r="M73" s="7">
        <f t="shared" si="17"/>
        <v>4.862065373900359</v>
      </c>
      <c r="N73" s="7">
        <f t="shared" si="17"/>
        <v>4.9362118708523388</v>
      </c>
      <c r="O73" s="3"/>
      <c r="P73" s="3"/>
      <c r="Q73" s="3"/>
      <c r="R73" s="3"/>
      <c r="S73" s="3"/>
      <c r="T73" s="3"/>
      <c r="U73" s="3"/>
      <c r="V73" s="3"/>
    </row>
    <row r="74" spans="1:22" ht="15">
      <c r="A74" s="1">
        <f t="shared" si="11"/>
        <v>74</v>
      </c>
      <c r="B74" s="6" t="s">
        <v>29</v>
      </c>
      <c r="C74" s="4"/>
      <c r="D74" s="7">
        <f>C9</f>
        <v>0</v>
      </c>
      <c r="E74" s="7">
        <f t="shared" ref="E74:N74" si="18">D73</f>
        <v>4</v>
      </c>
      <c r="F74" s="7">
        <f t="shared" si="18"/>
        <v>4.2499999999999982</v>
      </c>
      <c r="G74" s="7">
        <f t="shared" si="18"/>
        <v>4.1126399999999999</v>
      </c>
      <c r="H74" s="7">
        <f t="shared" si="18"/>
        <v>4.7053742399999994</v>
      </c>
      <c r="I74" s="7">
        <f t="shared" si="18"/>
        <v>4.5106240283999997</v>
      </c>
      <c r="J74" s="7">
        <f>I73</f>
        <v>4.5511665784905588</v>
      </c>
      <c r="K74" s="7">
        <f t="shared" si="18"/>
        <v>4.6462417125281643</v>
      </c>
      <c r="L74" s="7">
        <f t="shared" si="18"/>
        <v>4.7170968986442192</v>
      </c>
      <c r="M74" s="7">
        <f t="shared" si="18"/>
        <v>4.7890326263485434</v>
      </c>
      <c r="N74" s="7">
        <f t="shared" si="18"/>
        <v>4.862065373900359</v>
      </c>
      <c r="O74" s="3"/>
      <c r="P74" s="3"/>
      <c r="Q74" s="3"/>
      <c r="R74" s="3"/>
      <c r="S74" s="3"/>
      <c r="T74" s="3"/>
      <c r="U74" s="3"/>
      <c r="V74" s="3"/>
    </row>
    <row r="75" spans="1:22" ht="15">
      <c r="A75" s="1">
        <f t="shared" si="11"/>
        <v>75</v>
      </c>
      <c r="B75" s="6" t="s">
        <v>30</v>
      </c>
      <c r="C75" s="4"/>
      <c r="D75" s="7">
        <f t="shared" ref="D75:I75" si="19">D72+D73-D74</f>
        <v>4</v>
      </c>
      <c r="E75" s="7">
        <f t="shared" si="19"/>
        <v>51.25</v>
      </c>
      <c r="F75" s="7">
        <f t="shared" si="19"/>
        <v>51.27064</v>
      </c>
      <c r="G75" s="7">
        <f t="shared" si="19"/>
        <v>52.874670239999993</v>
      </c>
      <c r="H75" s="7">
        <f t="shared" si="19"/>
        <v>52.871414828399992</v>
      </c>
      <c r="I75" s="7">
        <f t="shared" si="19"/>
        <v>54.221097055930535</v>
      </c>
      <c r="J75" s="7">
        <f>J72+J73-J74</f>
        <v>55.101883096091647</v>
      </c>
      <c r="K75" s="7">
        <f>K72+K73-K74</f>
        <v>55.91651696959142</v>
      </c>
      <c r="L75" s="7">
        <f>L72+L73-L74</f>
        <v>56.769243853377688</v>
      </c>
      <c r="M75" s="7">
        <f>M72+M73-M74</f>
        <v>57.6349748221417</v>
      </c>
      <c r="N75" s="7">
        <f>N72+N73-N74</f>
        <v>58.513908188179364</v>
      </c>
      <c r="O75" s="3"/>
      <c r="P75" s="3"/>
      <c r="Q75" s="3"/>
      <c r="R75" s="3"/>
      <c r="S75" s="3"/>
      <c r="T75" s="3"/>
      <c r="U75" s="3"/>
      <c r="V75" s="3"/>
    </row>
    <row r="76" spans="1:22" ht="15">
      <c r="A76" s="1">
        <f t="shared" si="11"/>
        <v>76</v>
      </c>
      <c r="B76" s="6" t="s">
        <v>31</v>
      </c>
      <c r="C76" s="4"/>
      <c r="D76" s="1"/>
      <c r="E76" s="42"/>
      <c r="F76" s="42"/>
      <c r="G76" s="42"/>
      <c r="H76" s="42"/>
      <c r="I76" s="42"/>
      <c r="J76" s="25"/>
      <c r="K76" s="2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">
      <c r="A77" s="1">
        <f t="shared" si="11"/>
        <v>77</v>
      </c>
      <c r="B77" s="6"/>
      <c r="C77" s="68" t="s">
        <v>70</v>
      </c>
      <c r="D77" s="68">
        <v>0</v>
      </c>
      <c r="E77" s="68">
        <v>1</v>
      </c>
      <c r="F77" s="68">
        <v>2</v>
      </c>
      <c r="G77" s="68">
        <v>3</v>
      </c>
      <c r="H77" s="68">
        <v>4</v>
      </c>
      <c r="I77" s="68">
        <v>5</v>
      </c>
      <c r="J77" s="75"/>
      <c r="K77" s="7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">
      <c r="A78" s="1">
        <f t="shared" si="11"/>
        <v>78</v>
      </c>
      <c r="B78" s="6" t="s">
        <v>30</v>
      </c>
      <c r="C78" s="4"/>
      <c r="D78" s="62">
        <f>+D9</f>
        <v>4</v>
      </c>
      <c r="E78" s="7">
        <f t="shared" ref="E78:N78" si="20">+E75</f>
        <v>51.25</v>
      </c>
      <c r="F78" s="7">
        <f t="shared" si="20"/>
        <v>51.27064</v>
      </c>
      <c r="G78" s="7">
        <f t="shared" si="20"/>
        <v>52.874670239999993</v>
      </c>
      <c r="H78" s="7">
        <f t="shared" si="20"/>
        <v>52.871414828399992</v>
      </c>
      <c r="I78" s="7">
        <f t="shared" si="20"/>
        <v>54.221097055930535</v>
      </c>
      <c r="J78" s="7">
        <f t="shared" si="20"/>
        <v>55.101883096091647</v>
      </c>
      <c r="K78" s="7">
        <f t="shared" si="20"/>
        <v>55.91651696959142</v>
      </c>
      <c r="L78" s="7">
        <f t="shared" si="20"/>
        <v>56.769243853377688</v>
      </c>
      <c r="M78" s="7">
        <f t="shared" si="20"/>
        <v>57.6349748221417</v>
      </c>
      <c r="N78" s="7">
        <f t="shared" si="20"/>
        <v>58.513908188179364</v>
      </c>
      <c r="O78" s="3"/>
      <c r="P78" s="3"/>
      <c r="Q78" s="3"/>
      <c r="R78" s="3"/>
      <c r="S78" s="3"/>
      <c r="T78" s="3"/>
      <c r="U78" s="3"/>
      <c r="V78" s="3"/>
    </row>
    <row r="79" spans="1:22" ht="15">
      <c r="A79" s="1">
        <f t="shared" si="11"/>
        <v>79</v>
      </c>
      <c r="B79" s="6" t="s">
        <v>32</v>
      </c>
      <c r="C79" s="4"/>
      <c r="D79" s="36">
        <f>+D10</f>
        <v>5</v>
      </c>
      <c r="E79" s="36">
        <f t="shared" ref="E79:N79" si="21">+D79*(1+E42)</f>
        <v>5.3264999999999993</v>
      </c>
      <c r="F79" s="36">
        <f t="shared" si="21"/>
        <v>5.6531742449999989</v>
      </c>
      <c r="G79" s="36">
        <f t="shared" si="21"/>
        <v>6.0058475202743233</v>
      </c>
      <c r="H79" s="36">
        <f t="shared" si="21"/>
        <v>6.3376705957694801</v>
      </c>
      <c r="I79" s="36">
        <f t="shared" si="21"/>
        <v>6.6493572356694228</v>
      </c>
      <c r="J79" s="36">
        <f>+I79*(1+J42)</f>
        <v>6.9526743153317181</v>
      </c>
      <c r="K79" s="36">
        <f t="shared" si="21"/>
        <v>7.2348764131167158</v>
      </c>
      <c r="L79" s="36">
        <f t="shared" si="21"/>
        <v>7.4921630881199714</v>
      </c>
      <c r="M79" s="36">
        <f t="shared" si="21"/>
        <v>7.7585993918596925</v>
      </c>
      <c r="N79" s="36">
        <f t="shared" si="21"/>
        <v>8.0345107034330052</v>
      </c>
      <c r="O79" s="3"/>
      <c r="P79" s="3"/>
      <c r="Q79" s="3"/>
      <c r="R79" s="3"/>
      <c r="S79" s="3"/>
      <c r="T79" s="3"/>
      <c r="U79" s="3"/>
      <c r="V79" s="3"/>
    </row>
    <row r="80" spans="1:22" ht="12.75">
      <c r="A80" s="1">
        <f t="shared" si="11"/>
        <v>80</v>
      </c>
      <c r="B80" s="38"/>
      <c r="C80" s="4"/>
      <c r="D80" s="19"/>
      <c r="E80" s="30"/>
      <c r="F80" s="19"/>
      <c r="G80" s="19"/>
      <c r="H80" s="19"/>
      <c r="I80" s="19"/>
      <c r="J80" s="25"/>
      <c r="K80" s="25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</row>
    <row r="81" spans="1:22" ht="15">
      <c r="A81" s="1">
        <f t="shared" si="11"/>
        <v>81</v>
      </c>
      <c r="B81" s="112" t="s">
        <v>33</v>
      </c>
      <c r="C81" s="68" t="s">
        <v>70</v>
      </c>
      <c r="D81" s="68">
        <v>0</v>
      </c>
      <c r="E81" s="68">
        <v>1</v>
      </c>
      <c r="F81" s="68">
        <v>2</v>
      </c>
      <c r="G81" s="68">
        <v>3</v>
      </c>
      <c r="H81" s="68">
        <v>4</v>
      </c>
      <c r="I81" s="68">
        <v>5</v>
      </c>
      <c r="J81" s="75"/>
      <c r="K81" s="75"/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</row>
    <row r="82" spans="1:22" ht="15">
      <c r="A82" s="1">
        <f t="shared" si="11"/>
        <v>82</v>
      </c>
      <c r="B82" s="33" t="s">
        <v>36</v>
      </c>
      <c r="C82" s="4"/>
      <c r="D82" s="7">
        <f>+D74*D79</f>
        <v>0</v>
      </c>
      <c r="E82" s="7">
        <f t="shared" ref="E82:N82" si="22">+D84</f>
        <v>20</v>
      </c>
      <c r="F82" s="7">
        <f t="shared" si="22"/>
        <v>22.637624999999989</v>
      </c>
      <c r="G82" s="7">
        <f t="shared" si="22"/>
        <v>23.249470526956795</v>
      </c>
      <c r="H82" s="7">
        <f t="shared" si="22"/>
        <v>28.259760211266673</v>
      </c>
      <c r="I82" s="7">
        <f t="shared" si="22"/>
        <v>28.58684927336196</v>
      </c>
      <c r="J82" s="7">
        <f>+I84</f>
        <v>30.262332419423046</v>
      </c>
      <c r="K82" s="7">
        <f t="shared" si="22"/>
        <v>32.303805417517424</v>
      </c>
      <c r="L82" s="7">
        <f t="shared" si="22"/>
        <v>34.127613090387072</v>
      </c>
      <c r="M82" s="7">
        <f t="shared" si="22"/>
        <v>35.880213470930798</v>
      </c>
      <c r="N82" s="7">
        <f t="shared" si="22"/>
        <v>37.722817453125394</v>
      </c>
      <c r="O82" s="3"/>
      <c r="P82" s="3"/>
      <c r="Q82" s="3"/>
      <c r="R82" s="3"/>
      <c r="S82" s="3"/>
      <c r="T82" s="3"/>
      <c r="U82" s="3"/>
      <c r="V82" s="3"/>
    </row>
    <row r="83" spans="1:22" ht="15">
      <c r="A83" s="1">
        <f t="shared" si="11"/>
        <v>83</v>
      </c>
      <c r="B83" s="6" t="s">
        <v>34</v>
      </c>
      <c r="C83" s="4"/>
      <c r="D83" s="7">
        <f t="shared" ref="D83:I83" si="23">+D75*D79</f>
        <v>20</v>
      </c>
      <c r="E83" s="7">
        <f t="shared" si="23"/>
        <v>272.98312499999997</v>
      </c>
      <c r="F83" s="7">
        <f t="shared" si="23"/>
        <v>289.84186157266674</v>
      </c>
      <c r="G83" s="7">
        <f t="shared" si="23"/>
        <v>317.55720714622652</v>
      </c>
      <c r="H83" s="7">
        <f t="shared" si="23"/>
        <v>335.0816111146811</v>
      </c>
      <c r="I83" s="7">
        <f t="shared" si="23"/>
        <v>360.53544403478577</v>
      </c>
      <c r="J83" s="7">
        <f>+J75*J79</f>
        <v>383.10544732860734</v>
      </c>
      <c r="K83" s="7">
        <f>+K75*K79</f>
        <v>404.54908972693755</v>
      </c>
      <c r="L83" s="7">
        <f>+L75*L79</f>
        <v>425.3244333387579</v>
      </c>
      <c r="M83" s="7">
        <f>+M75*M79</f>
        <v>447.1666806049173</v>
      </c>
      <c r="N83" s="7">
        <f>+N75*N79</f>
        <v>470.13062163762328</v>
      </c>
      <c r="O83" s="3"/>
      <c r="P83" s="3"/>
      <c r="Q83" s="3"/>
      <c r="R83" s="3"/>
      <c r="S83" s="3"/>
      <c r="T83" s="3"/>
      <c r="U83" s="3"/>
      <c r="V83" s="3"/>
    </row>
    <row r="84" spans="1:22" ht="15">
      <c r="A84" s="1">
        <f t="shared" si="11"/>
        <v>84</v>
      </c>
      <c r="B84" s="33" t="s">
        <v>35</v>
      </c>
      <c r="C84" s="4"/>
      <c r="D84" s="7">
        <f t="shared" ref="D84:I84" si="24">D79*D73</f>
        <v>20</v>
      </c>
      <c r="E84" s="7">
        <f t="shared" si="24"/>
        <v>22.637624999999989</v>
      </c>
      <c r="F84" s="7">
        <f t="shared" si="24"/>
        <v>23.249470526956795</v>
      </c>
      <c r="G84" s="7">
        <f t="shared" si="24"/>
        <v>28.259760211266673</v>
      </c>
      <c r="H84" s="7">
        <f t="shared" si="24"/>
        <v>28.58684927336196</v>
      </c>
      <c r="I84" s="7">
        <f t="shared" si="24"/>
        <v>30.262332419423046</v>
      </c>
      <c r="J84" s="7">
        <f>J79*J73</f>
        <v>32.303805417517424</v>
      </c>
      <c r="K84" s="7">
        <f>K79*K73</f>
        <v>34.127613090387072</v>
      </c>
      <c r="L84" s="7">
        <f>L79*L73</f>
        <v>35.880213470930798</v>
      </c>
      <c r="M84" s="7">
        <f>M79*M73</f>
        <v>37.722817453125394</v>
      </c>
      <c r="N84" s="7">
        <f>N79*N73</f>
        <v>39.660047110776176</v>
      </c>
      <c r="O84" s="3"/>
      <c r="P84" s="3"/>
      <c r="Q84" s="3"/>
      <c r="R84" s="3"/>
      <c r="S84" s="3"/>
      <c r="T84" s="3"/>
      <c r="U84" s="3"/>
      <c r="V84" s="3"/>
    </row>
    <row r="85" spans="1:22" ht="15">
      <c r="A85" s="1">
        <f t="shared" si="11"/>
        <v>85</v>
      </c>
      <c r="B85" s="6" t="s">
        <v>37</v>
      </c>
      <c r="C85" s="4"/>
      <c r="D85" s="7">
        <f t="shared" ref="D85:I85" si="25">+D82+D83-D84</f>
        <v>0</v>
      </c>
      <c r="E85" s="7">
        <f t="shared" si="25"/>
        <v>270.34549999999996</v>
      </c>
      <c r="F85" s="7">
        <f t="shared" si="25"/>
        <v>289.23001604570999</v>
      </c>
      <c r="G85" s="7">
        <f t="shared" si="25"/>
        <v>312.54691746191662</v>
      </c>
      <c r="H85" s="7">
        <f t="shared" si="25"/>
        <v>334.7545220525858</v>
      </c>
      <c r="I85" s="7">
        <f t="shared" si="25"/>
        <v>358.85996088872469</v>
      </c>
      <c r="J85" s="7">
        <f>+J82+J83-J84</f>
        <v>381.06397433051296</v>
      </c>
      <c r="K85" s="7">
        <f>+K82+K83-K84</f>
        <v>402.72528205406792</v>
      </c>
      <c r="L85" s="7">
        <f>+L82+L83-L84</f>
        <v>423.57183295821415</v>
      </c>
      <c r="M85" s="7">
        <f>+M82+M83-M84</f>
        <v>445.32407662272271</v>
      </c>
      <c r="N85" s="7">
        <f>+N82+N83-N84</f>
        <v>468.19339197997249</v>
      </c>
      <c r="O85" s="3"/>
      <c r="P85" s="3"/>
      <c r="Q85" s="3"/>
      <c r="R85" s="3"/>
      <c r="S85" s="3"/>
      <c r="T85" s="3"/>
      <c r="U85" s="3"/>
      <c r="V85" s="3"/>
    </row>
    <row r="86" spans="1:22" ht="15">
      <c r="A86" s="1">
        <f>ROW(B86)</f>
        <v>86</v>
      </c>
      <c r="B86" s="6" t="s">
        <v>229</v>
      </c>
      <c r="C86" s="4"/>
      <c r="D86" s="7">
        <f>+D11</f>
        <v>22</v>
      </c>
      <c r="E86" s="7">
        <f t="shared" ref="E86:N86" si="26">D86*(1+E$43)</f>
        <v>23.436599999999999</v>
      </c>
      <c r="F86" s="7">
        <f t="shared" si="26"/>
        <v>24.972869129999999</v>
      </c>
      <c r="G86" s="7">
        <f t="shared" si="26"/>
        <v>26.4517624398786</v>
      </c>
      <c r="H86" s="7">
        <f t="shared" si="26"/>
        <v>27.99654536636751</v>
      </c>
      <c r="I86" s="7">
        <f t="shared" si="26"/>
        <v>29.607466586748295</v>
      </c>
      <c r="J86" s="7">
        <f t="shared" si="26"/>
        <v>31.053495254845082</v>
      </c>
      <c r="K86" s="7">
        <f t="shared" si="26"/>
        <v>32.413560713269156</v>
      </c>
      <c r="L86" s="7">
        <f t="shared" si="26"/>
        <v>33.669748258711898</v>
      </c>
      <c r="M86" s="7">
        <f t="shared" si="26"/>
        <v>34.974619352478271</v>
      </c>
      <c r="N86" s="7">
        <f t="shared" si="26"/>
        <v>36.330060725483563</v>
      </c>
      <c r="O86" s="3"/>
      <c r="P86" s="3"/>
      <c r="Q86" s="3"/>
      <c r="R86" s="3"/>
      <c r="S86" s="3"/>
      <c r="T86" s="3"/>
      <c r="U86" s="3"/>
      <c r="V86" s="3"/>
    </row>
    <row r="87" spans="1:22" ht="15">
      <c r="A87" s="1">
        <f t="shared" si="11"/>
        <v>87</v>
      </c>
      <c r="B87" s="6" t="s">
        <v>38</v>
      </c>
      <c r="C87" s="68" t="s">
        <v>70</v>
      </c>
      <c r="D87" s="68">
        <v>0</v>
      </c>
      <c r="E87" s="68">
        <v>1</v>
      </c>
      <c r="F87" s="68">
        <v>2</v>
      </c>
      <c r="G87" s="68">
        <v>3</v>
      </c>
      <c r="H87" s="68">
        <v>4</v>
      </c>
      <c r="I87" s="68">
        <v>5</v>
      </c>
      <c r="J87" s="75"/>
      <c r="K87" s="75"/>
      <c r="L87" s="3"/>
      <c r="M87" s="9"/>
      <c r="N87" s="3"/>
      <c r="O87" s="3"/>
      <c r="P87" s="3"/>
      <c r="Q87" s="3"/>
      <c r="R87" s="3"/>
      <c r="S87" s="3"/>
      <c r="T87" s="3"/>
      <c r="U87" s="3"/>
      <c r="V87" s="3"/>
    </row>
    <row r="88" spans="1:22" ht="15">
      <c r="A88" s="1">
        <f t="shared" si="11"/>
        <v>88</v>
      </c>
      <c r="B88" s="6" t="s">
        <v>39</v>
      </c>
      <c r="C88" s="4"/>
      <c r="D88" s="1"/>
      <c r="E88" s="7">
        <f t="shared" ref="E88:N88" si="27">+E53*$E$35</f>
        <v>15.257894400000003</v>
      </c>
      <c r="F88" s="7">
        <f t="shared" si="27"/>
        <v>16.404339628164095</v>
      </c>
      <c r="G88" s="7">
        <f t="shared" si="27"/>
        <v>17.776798040333684</v>
      </c>
      <c r="H88" s="7">
        <f t="shared" si="27"/>
        <v>19.172969981623446</v>
      </c>
      <c r="I88" s="7">
        <f t="shared" si="27"/>
        <v>20.620156492699568</v>
      </c>
      <c r="J88" s="7">
        <f t="shared" si="27"/>
        <v>21.985364019038709</v>
      </c>
      <c r="K88" s="7">
        <f t="shared" si="27"/>
        <v>23.328261508881166</v>
      </c>
      <c r="L88" s="7">
        <f t="shared" si="27"/>
        <v>24.633604494411976</v>
      </c>
      <c r="M88" s="7">
        <f t="shared" si="27"/>
        <v>26.011988512564351</v>
      </c>
      <c r="N88" s="7">
        <f t="shared" si="27"/>
        <v>27.467500605981911</v>
      </c>
      <c r="O88" s="128">
        <v>15.257894400000003</v>
      </c>
      <c r="P88" s="128">
        <v>16.404339628164095</v>
      </c>
      <c r="Q88" s="128">
        <v>17.776798040333684</v>
      </c>
      <c r="R88" s="128">
        <v>19.172969981623446</v>
      </c>
      <c r="S88" s="128">
        <v>20.620156492699568</v>
      </c>
      <c r="T88" s="3"/>
      <c r="U88" s="3"/>
      <c r="V88" s="3"/>
    </row>
    <row r="89" spans="1:22" ht="15">
      <c r="A89" s="1">
        <f t="shared" si="11"/>
        <v>89</v>
      </c>
      <c r="B89" s="33" t="s">
        <v>279</v>
      </c>
      <c r="C89" s="4"/>
      <c r="D89" s="7">
        <f>+D12</f>
        <v>24</v>
      </c>
      <c r="E89" s="7">
        <f t="shared" ref="E89:N89" si="28">D89*(1+E$44)</f>
        <v>25.821599999999997</v>
      </c>
      <c r="F89" s="7">
        <f t="shared" si="28"/>
        <v>27.786623759999998</v>
      </c>
      <c r="G89" s="7">
        <f t="shared" si="28"/>
        <v>29.608036947467998</v>
      </c>
      <c r="H89" s="7">
        <f t="shared" si="28"/>
        <v>31.430411621584653</v>
      </c>
      <c r="I89" s="7">
        <f t="shared" si="28"/>
        <v>33.107538385712402</v>
      </c>
      <c r="J89" s="7">
        <f>I89*(1+J$44)</f>
        <v>35.090185480318858</v>
      </c>
      <c r="K89" s="7">
        <f t="shared" si="28"/>
        <v>37.012757931568117</v>
      </c>
      <c r="L89" s="7">
        <f t="shared" si="28"/>
        <v>38.852064840258699</v>
      </c>
      <c r="M89" s="7">
        <f t="shared" si="28"/>
        <v>40.782774013828103</v>
      </c>
      <c r="N89" s="7">
        <f t="shared" si="28"/>
        <v>42.809427583872477</v>
      </c>
      <c r="O89" s="128">
        <v>25.821599999999997</v>
      </c>
      <c r="P89" s="128">
        <v>27.786623759999998</v>
      </c>
      <c r="Q89" s="128">
        <v>29.608036947467998</v>
      </c>
      <c r="R89" s="128">
        <v>31.430411621584653</v>
      </c>
      <c r="S89" s="128">
        <v>33.107538385712402</v>
      </c>
      <c r="T89" s="3"/>
      <c r="U89" s="3"/>
      <c r="V89" s="3"/>
    </row>
    <row r="90" spans="1:22" ht="15">
      <c r="A90" s="1">
        <f t="shared" si="11"/>
        <v>90</v>
      </c>
      <c r="B90" s="6" t="s">
        <v>278</v>
      </c>
      <c r="C90" s="4"/>
      <c r="D90" s="1"/>
      <c r="E90" s="7">
        <f t="shared" ref="E90:N90" si="29">E53*$E$28</f>
        <v>11.443420800000002</v>
      </c>
      <c r="F90" s="7">
        <f t="shared" si="29"/>
        <v>12.303254721123071</v>
      </c>
      <c r="G90" s="7">
        <f t="shared" si="29"/>
        <v>13.332598530250262</v>
      </c>
      <c r="H90" s="7">
        <f t="shared" si="29"/>
        <v>14.379727486217584</v>
      </c>
      <c r="I90" s="7">
        <f t="shared" si="29"/>
        <v>15.465117369524673</v>
      </c>
      <c r="J90" s="7">
        <f t="shared" si="29"/>
        <v>16.489023014279031</v>
      </c>
      <c r="K90" s="7">
        <f t="shared" si="29"/>
        <v>17.496196131660874</v>
      </c>
      <c r="L90" s="7">
        <f t="shared" si="29"/>
        <v>18.47520337080898</v>
      </c>
      <c r="M90" s="7">
        <f t="shared" si="29"/>
        <v>19.508991384423261</v>
      </c>
      <c r="N90" s="7">
        <f t="shared" si="29"/>
        <v>20.60062545448643</v>
      </c>
      <c r="O90" s="128">
        <v>11.443420800000002</v>
      </c>
      <c r="P90" s="128">
        <v>12.303254721123071</v>
      </c>
      <c r="Q90" s="128">
        <v>13.332598530250262</v>
      </c>
      <c r="R90" s="128">
        <v>14.379727486217584</v>
      </c>
      <c r="S90" s="128">
        <v>15.465117369524673</v>
      </c>
      <c r="T90" s="3"/>
      <c r="U90" s="3"/>
      <c r="V90" s="3"/>
    </row>
    <row r="91" spans="1:22" ht="15">
      <c r="A91" s="1">
        <f t="shared" si="11"/>
        <v>91</v>
      </c>
      <c r="B91" s="6" t="s">
        <v>38</v>
      </c>
      <c r="C91" s="4"/>
      <c r="D91" s="1"/>
      <c r="E91" s="7">
        <f t="shared" ref="E91:N91" si="30">SUM(E88:E90)</f>
        <v>52.5229152</v>
      </c>
      <c r="F91" s="7">
        <f t="shared" si="30"/>
        <v>56.494218109287161</v>
      </c>
      <c r="G91" s="7">
        <f t="shared" si="30"/>
        <v>60.717433518051948</v>
      </c>
      <c r="H91" s="7">
        <f t="shared" si="30"/>
        <v>64.983109089425682</v>
      </c>
      <c r="I91" s="7">
        <f t="shared" si="30"/>
        <v>69.192812247936644</v>
      </c>
      <c r="J91" s="7">
        <f t="shared" si="30"/>
        <v>73.564572513636591</v>
      </c>
      <c r="K91" s="7">
        <f t="shared" si="30"/>
        <v>77.837215572110154</v>
      </c>
      <c r="L91" s="7">
        <f t="shared" si="30"/>
        <v>81.960872705479659</v>
      </c>
      <c r="M91" s="7">
        <f t="shared" si="30"/>
        <v>86.303753910815715</v>
      </c>
      <c r="N91" s="7">
        <f t="shared" si="30"/>
        <v>90.877553644340821</v>
      </c>
      <c r="O91" s="128">
        <v>52.5229152</v>
      </c>
      <c r="P91" s="128">
        <v>56.494218109287161</v>
      </c>
      <c r="Q91" s="128">
        <v>60.717433518051948</v>
      </c>
      <c r="R91" s="128">
        <v>64.983109089425682</v>
      </c>
      <c r="S91" s="128">
        <v>69.192812247936644</v>
      </c>
      <c r="T91" s="3"/>
      <c r="U91" s="3"/>
      <c r="V91" s="3"/>
    </row>
    <row r="92" spans="1:22" ht="15">
      <c r="A92" s="1">
        <f t="shared" si="11"/>
        <v>92</v>
      </c>
      <c r="B92" s="6"/>
      <c r="C92" s="4"/>
      <c r="D92" s="1"/>
      <c r="E92" s="7"/>
      <c r="F92" s="7"/>
      <c r="G92" s="7"/>
      <c r="H92" s="7"/>
      <c r="I92" s="7"/>
      <c r="J92" s="25"/>
      <c r="K92" s="25"/>
      <c r="L92" s="1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">
      <c r="A93" s="1">
        <f t="shared" si="11"/>
        <v>93</v>
      </c>
      <c r="B93" s="112" t="s">
        <v>40</v>
      </c>
      <c r="C93" s="68" t="s">
        <v>70</v>
      </c>
      <c r="D93" s="68">
        <v>0</v>
      </c>
      <c r="E93" s="68">
        <v>1</v>
      </c>
      <c r="F93" s="68">
        <v>2</v>
      </c>
      <c r="G93" s="68">
        <v>3</v>
      </c>
      <c r="H93" s="68">
        <v>4</v>
      </c>
      <c r="I93" s="68">
        <v>5</v>
      </c>
      <c r="J93" s="75"/>
      <c r="K93" s="7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">
      <c r="A94" s="1">
        <f t="shared" si="11"/>
        <v>94</v>
      </c>
      <c r="B94" s="6" t="s">
        <v>41</v>
      </c>
      <c r="C94" s="4"/>
      <c r="D94" s="1"/>
      <c r="E94" s="7">
        <f t="shared" ref="E94:N94" si="31">+E53</f>
        <v>381.44736000000006</v>
      </c>
      <c r="F94" s="7">
        <f t="shared" si="31"/>
        <v>410.10849070410239</v>
      </c>
      <c r="G94" s="7">
        <f t="shared" si="31"/>
        <v>444.41995100834208</v>
      </c>
      <c r="H94" s="7">
        <f t="shared" si="31"/>
        <v>479.32424954058615</v>
      </c>
      <c r="I94" s="7">
        <f t="shared" si="31"/>
        <v>515.50391231748915</v>
      </c>
      <c r="J94" s="7">
        <f t="shared" si="31"/>
        <v>549.63410047596767</v>
      </c>
      <c r="K94" s="7">
        <f t="shared" si="31"/>
        <v>583.20653772202911</v>
      </c>
      <c r="L94" s="7">
        <f t="shared" si="31"/>
        <v>615.84011236029937</v>
      </c>
      <c r="M94" s="7">
        <f t="shared" si="31"/>
        <v>650.29971281410872</v>
      </c>
      <c r="N94" s="7">
        <f t="shared" si="31"/>
        <v>686.68751514954772</v>
      </c>
      <c r="O94" s="3"/>
      <c r="P94" s="3"/>
      <c r="Q94" s="3"/>
      <c r="R94" s="3"/>
      <c r="S94" s="3"/>
      <c r="T94" s="3"/>
      <c r="U94" s="3"/>
      <c r="V94" s="3"/>
    </row>
    <row r="95" spans="1:22" ht="15">
      <c r="A95" s="1">
        <f t="shared" si="11"/>
        <v>95</v>
      </c>
      <c r="B95" s="33" t="s">
        <v>42</v>
      </c>
      <c r="C95" s="4"/>
      <c r="D95" s="1"/>
      <c r="E95" s="7">
        <f>+E53*(1-E30)</f>
        <v>362.37499200000002</v>
      </c>
      <c r="F95" s="7">
        <f t="shared" ref="F95:M95" si="32">+F53*(1-F30)</f>
        <v>385.5019812618562</v>
      </c>
      <c r="G95" s="7">
        <f t="shared" si="32"/>
        <v>426.64315296800839</v>
      </c>
      <c r="H95" s="7">
        <f t="shared" si="32"/>
        <v>445.77155207274507</v>
      </c>
      <c r="I95" s="7">
        <f t="shared" si="32"/>
        <v>500.03879494796445</v>
      </c>
      <c r="J95" s="7">
        <f t="shared" si="32"/>
        <v>549.63410047596767</v>
      </c>
      <c r="K95" s="7">
        <f t="shared" si="32"/>
        <v>583.20653772202911</v>
      </c>
      <c r="L95" s="7">
        <f t="shared" si="32"/>
        <v>615.84011236029937</v>
      </c>
      <c r="M95" s="7">
        <f t="shared" si="32"/>
        <v>650.29971281410872</v>
      </c>
      <c r="N95" s="7">
        <f>+N53*(1-N30)</f>
        <v>686.68751514954772</v>
      </c>
      <c r="O95" s="3"/>
      <c r="P95" s="3"/>
      <c r="Q95" s="3"/>
      <c r="R95" s="3"/>
      <c r="S95" s="3"/>
      <c r="T95" s="3"/>
      <c r="U95" s="3"/>
      <c r="V95" s="3"/>
    </row>
    <row r="96" spans="1:22" ht="15">
      <c r="A96" s="1">
        <f t="shared" si="11"/>
        <v>96</v>
      </c>
      <c r="B96" s="6" t="s">
        <v>43</v>
      </c>
      <c r="C96" s="4"/>
      <c r="D96" s="1"/>
      <c r="E96" s="7">
        <f t="shared" ref="E96:N96" si="33">+E94*E30</f>
        <v>19.072368000000004</v>
      </c>
      <c r="F96" s="7">
        <f t="shared" si="33"/>
        <v>24.606509442246143</v>
      </c>
      <c r="G96" s="7">
        <f t="shared" si="33"/>
        <v>17.776798040333684</v>
      </c>
      <c r="H96" s="7">
        <f t="shared" si="33"/>
        <v>33.552697467841035</v>
      </c>
      <c r="I96" s="7">
        <f t="shared" si="33"/>
        <v>15.465117369524673</v>
      </c>
      <c r="J96" s="7">
        <f t="shared" si="33"/>
        <v>0</v>
      </c>
      <c r="K96" s="7">
        <f t="shared" si="33"/>
        <v>0</v>
      </c>
      <c r="L96" s="7">
        <f t="shared" si="33"/>
        <v>0</v>
      </c>
      <c r="M96" s="7">
        <f t="shared" si="33"/>
        <v>0</v>
      </c>
      <c r="N96" s="7">
        <f t="shared" si="33"/>
        <v>0</v>
      </c>
      <c r="O96" s="3"/>
      <c r="P96" s="3"/>
      <c r="Q96" s="3"/>
      <c r="R96" s="3"/>
      <c r="S96" s="3"/>
      <c r="T96" s="3"/>
      <c r="U96" s="3"/>
      <c r="V96" s="3"/>
    </row>
    <row r="97" spans="1:22" ht="15">
      <c r="A97" s="1">
        <f t="shared" si="11"/>
        <v>97</v>
      </c>
      <c r="B97" s="6" t="s">
        <v>44</v>
      </c>
      <c r="C97" s="4"/>
      <c r="D97" s="1"/>
      <c r="E97" s="7">
        <f t="shared" ref="E97:N97" si="34">+E83</f>
        <v>272.98312499999997</v>
      </c>
      <c r="F97" s="7">
        <f t="shared" si="34"/>
        <v>289.84186157266674</v>
      </c>
      <c r="G97" s="7">
        <f t="shared" si="34"/>
        <v>317.55720714622652</v>
      </c>
      <c r="H97" s="7">
        <f t="shared" si="34"/>
        <v>335.0816111146811</v>
      </c>
      <c r="I97" s="7">
        <f t="shared" si="34"/>
        <v>360.53544403478577</v>
      </c>
      <c r="J97" s="7">
        <f t="shared" si="34"/>
        <v>383.10544732860734</v>
      </c>
      <c r="K97" s="7">
        <f t="shared" si="34"/>
        <v>404.54908972693755</v>
      </c>
      <c r="L97" s="7">
        <f t="shared" si="34"/>
        <v>425.3244333387579</v>
      </c>
      <c r="M97" s="7">
        <f t="shared" si="34"/>
        <v>447.1666806049173</v>
      </c>
      <c r="N97" s="7">
        <f t="shared" si="34"/>
        <v>470.13062163762328</v>
      </c>
      <c r="O97" s="3"/>
      <c r="P97" s="3"/>
      <c r="Q97" s="3"/>
      <c r="R97" s="3"/>
      <c r="S97" s="3"/>
      <c r="T97" s="3"/>
      <c r="U97" s="3"/>
      <c r="V97" s="3"/>
    </row>
    <row r="98" spans="1:22" ht="15">
      <c r="A98" s="1">
        <f t="shared" si="11"/>
        <v>98</v>
      </c>
      <c r="B98" s="6" t="s">
        <v>45</v>
      </c>
      <c r="C98" s="4"/>
      <c r="D98" s="7">
        <f>+D83</f>
        <v>20</v>
      </c>
      <c r="E98" s="7">
        <f>+E83*(1-E31)</f>
        <v>245.68481249999999</v>
      </c>
      <c r="F98" s="7">
        <f t="shared" ref="F98:N98" si="35">+F83*(1-F31)</f>
        <v>257.95925679967343</v>
      </c>
      <c r="G98" s="7">
        <f t="shared" si="35"/>
        <v>279.45034228867934</v>
      </c>
      <c r="H98" s="7">
        <f t="shared" si="35"/>
        <v>311.62589833665339</v>
      </c>
      <c r="I98" s="7">
        <f t="shared" si="35"/>
        <v>331.69260851200295</v>
      </c>
      <c r="J98" s="7">
        <f t="shared" si="35"/>
        <v>383.10544732860734</v>
      </c>
      <c r="K98" s="7">
        <f t="shared" si="35"/>
        <v>404.54908972693755</v>
      </c>
      <c r="L98" s="7">
        <f t="shared" si="35"/>
        <v>425.3244333387579</v>
      </c>
      <c r="M98" s="7">
        <f t="shared" si="35"/>
        <v>447.1666806049173</v>
      </c>
      <c r="N98" s="7">
        <f t="shared" si="35"/>
        <v>470.13062163762328</v>
      </c>
      <c r="O98" s="3"/>
      <c r="P98" s="3"/>
      <c r="Q98" s="3"/>
      <c r="R98" s="3"/>
      <c r="S98" s="3"/>
      <c r="T98" s="3"/>
      <c r="U98" s="3"/>
      <c r="V98" s="3"/>
    </row>
    <row r="99" spans="1:22" ht="15">
      <c r="A99" s="1">
        <f t="shared" si="11"/>
        <v>99</v>
      </c>
      <c r="B99" s="6" t="s">
        <v>46</v>
      </c>
      <c r="C99" s="4"/>
      <c r="D99" s="7">
        <f>D83-D98</f>
        <v>0</v>
      </c>
      <c r="E99" s="7">
        <f t="shared" ref="E99:N99" si="36">+E97-E98</f>
        <v>27.29831249999998</v>
      </c>
      <c r="F99" s="7">
        <f t="shared" si="36"/>
        <v>31.882604772993318</v>
      </c>
      <c r="G99" s="7">
        <f t="shared" si="36"/>
        <v>38.10686485754718</v>
      </c>
      <c r="H99" s="7">
        <f t="shared" si="36"/>
        <v>23.455712778027703</v>
      </c>
      <c r="I99" s="7">
        <f t="shared" si="36"/>
        <v>28.842835522782821</v>
      </c>
      <c r="J99" s="7">
        <f t="shared" si="36"/>
        <v>0</v>
      </c>
      <c r="K99" s="7">
        <f t="shared" si="36"/>
        <v>0</v>
      </c>
      <c r="L99" s="7">
        <f t="shared" si="36"/>
        <v>0</v>
      </c>
      <c r="M99" s="7">
        <f t="shared" si="36"/>
        <v>0</v>
      </c>
      <c r="N99" s="7">
        <f t="shared" si="36"/>
        <v>0</v>
      </c>
      <c r="O99" s="3"/>
      <c r="P99" s="3"/>
      <c r="Q99" s="3"/>
      <c r="R99" s="3"/>
      <c r="S99" s="3"/>
      <c r="T99" s="3"/>
      <c r="U99" s="3"/>
      <c r="V99" s="3"/>
    </row>
    <row r="100" spans="1:22" ht="12.75">
      <c r="A100" s="1">
        <f t="shared" si="11"/>
        <v>100</v>
      </c>
      <c r="B100" s="3"/>
      <c r="C100" s="3"/>
      <c r="D100" s="3"/>
      <c r="E100" s="3"/>
      <c r="F100" s="3"/>
      <c r="G100" s="3"/>
      <c r="H100" s="3"/>
      <c r="I100" s="3"/>
      <c r="J100" s="25"/>
      <c r="K100" s="2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">
      <c r="A101" s="1">
        <f t="shared" si="11"/>
        <v>101</v>
      </c>
      <c r="B101" s="112" t="s">
        <v>47</v>
      </c>
      <c r="C101" s="68" t="s">
        <v>70</v>
      </c>
      <c r="D101" s="68">
        <v>0</v>
      </c>
      <c r="E101" s="68">
        <v>1</v>
      </c>
      <c r="F101" s="68">
        <v>2</v>
      </c>
      <c r="G101" s="68">
        <v>3</v>
      </c>
      <c r="H101" s="68">
        <v>4</v>
      </c>
      <c r="I101" s="68">
        <v>5</v>
      </c>
      <c r="J101" s="25"/>
      <c r="K101" s="2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">
      <c r="A102" s="1">
        <f t="shared" si="11"/>
        <v>102</v>
      </c>
      <c r="B102" s="33" t="s">
        <v>42</v>
      </c>
      <c r="C102" s="4"/>
      <c r="D102" s="7">
        <f t="shared" ref="D102:I102" si="37">+D95</f>
        <v>0</v>
      </c>
      <c r="E102" s="7">
        <f t="shared" si="37"/>
        <v>362.37499200000002</v>
      </c>
      <c r="F102" s="7">
        <f t="shared" si="37"/>
        <v>385.5019812618562</v>
      </c>
      <c r="G102" s="7">
        <f t="shared" si="37"/>
        <v>426.64315296800839</v>
      </c>
      <c r="H102" s="7">
        <f t="shared" si="37"/>
        <v>445.77155207274507</v>
      </c>
      <c r="I102" s="7">
        <f t="shared" si="37"/>
        <v>500.03879494796445</v>
      </c>
      <c r="J102" s="7">
        <f>+J95</f>
        <v>549.63410047596767</v>
      </c>
      <c r="K102" s="7">
        <f>+K95</f>
        <v>583.20653772202911</v>
      </c>
      <c r="L102" s="7">
        <f>+L95</f>
        <v>615.84011236029937</v>
      </c>
      <c r="M102" s="7">
        <f>+M95</f>
        <v>650.29971281410872</v>
      </c>
      <c r="N102" s="7">
        <f>+N95</f>
        <v>686.68751514954772</v>
      </c>
      <c r="O102" s="3"/>
      <c r="P102" s="3"/>
      <c r="Q102" s="3"/>
      <c r="R102" s="3"/>
      <c r="S102" s="3"/>
      <c r="T102" s="3"/>
      <c r="U102" s="3"/>
      <c r="V102" s="3"/>
    </row>
    <row r="103" spans="1:22" ht="15">
      <c r="A103" s="1">
        <f t="shared" si="11"/>
        <v>103</v>
      </c>
      <c r="B103" s="6" t="s">
        <v>48</v>
      </c>
      <c r="C103" s="4"/>
      <c r="D103" s="7">
        <f t="shared" ref="D103:I103" si="38">C96</f>
        <v>0</v>
      </c>
      <c r="E103" s="7">
        <f t="shared" si="38"/>
        <v>0</v>
      </c>
      <c r="F103" s="7">
        <f t="shared" si="38"/>
        <v>19.072368000000004</v>
      </c>
      <c r="G103" s="7">
        <f t="shared" si="38"/>
        <v>24.606509442246143</v>
      </c>
      <c r="H103" s="7">
        <f t="shared" si="38"/>
        <v>17.776798040333684</v>
      </c>
      <c r="I103" s="7">
        <f t="shared" si="38"/>
        <v>33.552697467841035</v>
      </c>
      <c r="J103" s="7">
        <f>I96</f>
        <v>15.465117369524673</v>
      </c>
      <c r="K103" s="7">
        <f>J96</f>
        <v>0</v>
      </c>
      <c r="L103" s="7">
        <f>K96</f>
        <v>0</v>
      </c>
      <c r="M103" s="7">
        <f>L96</f>
        <v>0</v>
      </c>
      <c r="N103" s="7">
        <f>M96</f>
        <v>0</v>
      </c>
      <c r="O103" s="3"/>
      <c r="P103" s="3"/>
      <c r="Q103" s="3"/>
      <c r="R103" s="3"/>
      <c r="S103" s="3"/>
      <c r="T103" s="3"/>
      <c r="U103" s="3"/>
      <c r="V103" s="3"/>
    </row>
    <row r="104" spans="1:22" ht="15">
      <c r="A104" s="1">
        <f t="shared" si="11"/>
        <v>104</v>
      </c>
      <c r="B104" s="6" t="s">
        <v>49</v>
      </c>
      <c r="C104" s="4"/>
      <c r="D104" s="7">
        <f t="shared" ref="D104:I104" si="39">+D103+D102</f>
        <v>0</v>
      </c>
      <c r="E104" s="7">
        <f t="shared" si="39"/>
        <v>362.37499200000002</v>
      </c>
      <c r="F104" s="7">
        <f t="shared" si="39"/>
        <v>404.57434926185618</v>
      </c>
      <c r="G104" s="7">
        <f t="shared" si="39"/>
        <v>451.24966241025453</v>
      </c>
      <c r="H104" s="7">
        <f t="shared" si="39"/>
        <v>463.54835011307875</v>
      </c>
      <c r="I104" s="7">
        <f t="shared" si="39"/>
        <v>533.59149241580553</v>
      </c>
      <c r="J104" s="7">
        <f>+J103+J102</f>
        <v>565.09921784549238</v>
      </c>
      <c r="K104" s="7">
        <f>+K103+K102</f>
        <v>583.20653772202911</v>
      </c>
      <c r="L104" s="7">
        <f>+L103+L102</f>
        <v>615.84011236029937</v>
      </c>
      <c r="M104" s="7">
        <f>+M103+M102</f>
        <v>650.29971281410872</v>
      </c>
      <c r="N104" s="7">
        <f>+N103+N102</f>
        <v>686.68751514954772</v>
      </c>
      <c r="O104" s="3"/>
      <c r="P104" s="3"/>
      <c r="Q104" s="3"/>
      <c r="R104" s="3"/>
      <c r="S104" s="3"/>
      <c r="T104" s="3"/>
      <c r="U104" s="3"/>
      <c r="V104" s="3"/>
    </row>
    <row r="105" spans="1:22" ht="15">
      <c r="A105" s="1">
        <f t="shared" si="11"/>
        <v>105</v>
      </c>
      <c r="B105" s="6" t="s">
        <v>50</v>
      </c>
      <c r="C105" s="4"/>
      <c r="D105" s="7">
        <f t="shared" ref="D105:I105" si="40">+D98</f>
        <v>20</v>
      </c>
      <c r="E105" s="7">
        <f t="shared" si="40"/>
        <v>245.68481249999999</v>
      </c>
      <c r="F105" s="7">
        <f t="shared" si="40"/>
        <v>257.95925679967343</v>
      </c>
      <c r="G105" s="7">
        <f t="shared" si="40"/>
        <v>279.45034228867934</v>
      </c>
      <c r="H105" s="7">
        <f t="shared" si="40"/>
        <v>311.62589833665339</v>
      </c>
      <c r="I105" s="7">
        <f t="shared" si="40"/>
        <v>331.69260851200295</v>
      </c>
      <c r="J105" s="7">
        <f>+J98</f>
        <v>383.10544732860734</v>
      </c>
      <c r="K105" s="7">
        <f>+K98</f>
        <v>404.54908972693755</v>
      </c>
      <c r="L105" s="7">
        <f>+L98</f>
        <v>425.3244333387579</v>
      </c>
      <c r="M105" s="7">
        <f>+M98</f>
        <v>447.1666806049173</v>
      </c>
      <c r="N105" s="7">
        <f>+N98</f>
        <v>470.13062163762328</v>
      </c>
      <c r="O105" s="3"/>
      <c r="P105" s="3"/>
      <c r="Q105" s="3"/>
      <c r="R105" s="3"/>
      <c r="S105" s="3"/>
      <c r="T105" s="3"/>
      <c r="U105" s="3"/>
      <c r="V105" s="3"/>
    </row>
    <row r="106" spans="1:22" ht="15">
      <c r="A106" s="1">
        <f t="shared" si="11"/>
        <v>106</v>
      </c>
      <c r="B106" s="6" t="s">
        <v>51</v>
      </c>
      <c r="C106" s="4"/>
      <c r="D106" s="7">
        <f t="shared" ref="D106:I106" si="41">C99</f>
        <v>0</v>
      </c>
      <c r="E106" s="7">
        <f t="shared" si="41"/>
        <v>0</v>
      </c>
      <c r="F106" s="7">
        <f t="shared" si="41"/>
        <v>27.29831249999998</v>
      </c>
      <c r="G106" s="7">
        <f t="shared" si="41"/>
        <v>31.882604772993318</v>
      </c>
      <c r="H106" s="7">
        <f t="shared" si="41"/>
        <v>38.10686485754718</v>
      </c>
      <c r="I106" s="7">
        <f t="shared" si="41"/>
        <v>23.455712778027703</v>
      </c>
      <c r="J106" s="7">
        <f>I99</f>
        <v>28.842835522782821</v>
      </c>
      <c r="K106" s="7">
        <f>J99</f>
        <v>0</v>
      </c>
      <c r="L106" s="7">
        <f>K99</f>
        <v>0</v>
      </c>
      <c r="M106" s="7">
        <f>L99</f>
        <v>0</v>
      </c>
      <c r="N106" s="7">
        <f>M99</f>
        <v>0</v>
      </c>
      <c r="O106" s="3"/>
      <c r="P106" s="3"/>
      <c r="Q106" s="3"/>
      <c r="R106" s="3"/>
      <c r="S106" s="3"/>
      <c r="T106" s="3"/>
      <c r="U106" s="3"/>
      <c r="V106" s="3"/>
    </row>
    <row r="107" spans="1:22" ht="15">
      <c r="A107" s="1">
        <f t="shared" si="11"/>
        <v>107</v>
      </c>
      <c r="B107" s="33" t="s">
        <v>52</v>
      </c>
      <c r="C107" s="4"/>
      <c r="D107" s="7">
        <f t="shared" ref="D107:I107" si="42">+D106+D105</f>
        <v>20</v>
      </c>
      <c r="E107" s="7">
        <f t="shared" si="42"/>
        <v>245.68481249999999</v>
      </c>
      <c r="F107" s="7">
        <f t="shared" si="42"/>
        <v>285.25756929967338</v>
      </c>
      <c r="G107" s="7">
        <f t="shared" si="42"/>
        <v>311.33294706167266</v>
      </c>
      <c r="H107" s="7">
        <f t="shared" si="42"/>
        <v>349.73276319420057</v>
      </c>
      <c r="I107" s="7">
        <f t="shared" si="42"/>
        <v>355.14832129003065</v>
      </c>
      <c r="J107" s="7">
        <f>+J106+J105</f>
        <v>411.94828285139016</v>
      </c>
      <c r="K107" s="7">
        <f>+K106+K105</f>
        <v>404.54908972693755</v>
      </c>
      <c r="L107" s="7">
        <f>+L106+L105</f>
        <v>425.3244333387579</v>
      </c>
      <c r="M107" s="7">
        <f>+M106+M105</f>
        <v>447.1666806049173</v>
      </c>
      <c r="N107" s="7">
        <f>+N106+N105</f>
        <v>470.13062163762328</v>
      </c>
      <c r="O107" s="3"/>
      <c r="P107" s="3"/>
      <c r="Q107" s="3"/>
      <c r="R107" s="3"/>
      <c r="S107" s="3"/>
      <c r="T107" s="3"/>
      <c r="U107" s="3"/>
      <c r="V107" s="3"/>
    </row>
    <row r="108" spans="1:22" ht="12.75">
      <c r="A108" s="1">
        <f t="shared" ref="A108:A194" si="43">ROW(B108)</f>
        <v>108</v>
      </c>
    </row>
    <row r="109" spans="1:22" ht="15.75" thickBot="1">
      <c r="A109" s="1">
        <f t="shared" si="43"/>
        <v>109</v>
      </c>
      <c r="B109" s="108" t="s">
        <v>222</v>
      </c>
      <c r="J109" s="25"/>
      <c r="K109" s="25"/>
      <c r="L109" s="1"/>
      <c r="M109" s="3"/>
      <c r="N109" s="3"/>
      <c r="O109" s="3"/>
      <c r="P109" s="53"/>
      <c r="Q109" s="53"/>
      <c r="R109" s="53"/>
      <c r="S109" s="53"/>
      <c r="T109" s="53"/>
      <c r="U109" s="3"/>
      <c r="V109" s="3"/>
    </row>
    <row r="110" spans="1:22" ht="26.25" thickBot="1">
      <c r="A110" s="1">
        <f t="shared" si="43"/>
        <v>110</v>
      </c>
      <c r="B110" s="110" t="s">
        <v>223</v>
      </c>
      <c r="C110" s="69" t="s">
        <v>70</v>
      </c>
      <c r="D110" s="69">
        <v>0</v>
      </c>
      <c r="E110" s="69">
        <v>1</v>
      </c>
      <c r="F110" s="69">
        <v>2</v>
      </c>
      <c r="G110" s="69">
        <v>3</v>
      </c>
      <c r="H110" s="69">
        <v>4</v>
      </c>
      <c r="I110" s="69">
        <v>5</v>
      </c>
      <c r="J110" s="75"/>
      <c r="K110" s="75"/>
      <c r="L110" s="1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">
      <c r="A111" s="1">
        <f t="shared" si="43"/>
        <v>111</v>
      </c>
      <c r="B111" s="50" t="s">
        <v>224</v>
      </c>
      <c r="C111" s="4"/>
      <c r="D111" s="7"/>
      <c r="E111" s="42"/>
      <c r="F111" s="42"/>
      <c r="G111" s="42"/>
      <c r="H111" s="42"/>
      <c r="I111" s="42"/>
      <c r="J111" s="25"/>
      <c r="K111" s="25"/>
      <c r="L111" s="1"/>
      <c r="M111" s="3"/>
      <c r="N111" s="3"/>
      <c r="O111" s="3"/>
      <c r="P111" s="9"/>
      <c r="Q111" s="9"/>
      <c r="R111" s="9"/>
      <c r="S111" s="9"/>
      <c r="T111" s="9"/>
      <c r="U111" s="3"/>
      <c r="V111" s="3"/>
    </row>
    <row r="112" spans="1:22" ht="30">
      <c r="A112" s="1">
        <f t="shared" si="43"/>
        <v>112</v>
      </c>
      <c r="B112" s="50" t="s">
        <v>225</v>
      </c>
      <c r="C112" s="4"/>
      <c r="D112" s="1"/>
      <c r="E112" s="7">
        <f t="shared" ref="E112:N112" si="44">+E104</f>
        <v>362.37499200000002</v>
      </c>
      <c r="F112" s="7">
        <f t="shared" si="44"/>
        <v>404.57434926185618</v>
      </c>
      <c r="G112" s="7">
        <f t="shared" si="44"/>
        <v>451.24966241025453</v>
      </c>
      <c r="H112" s="7">
        <f t="shared" si="44"/>
        <v>463.54835011307875</v>
      </c>
      <c r="I112" s="7">
        <f t="shared" si="44"/>
        <v>533.59149241580553</v>
      </c>
      <c r="J112" s="7">
        <f t="shared" si="44"/>
        <v>565.09921784549238</v>
      </c>
      <c r="K112" s="7">
        <f t="shared" si="44"/>
        <v>583.20653772202911</v>
      </c>
      <c r="L112" s="7">
        <f t="shared" si="44"/>
        <v>615.84011236029937</v>
      </c>
      <c r="M112" s="7">
        <f t="shared" si="44"/>
        <v>650.29971281410872</v>
      </c>
      <c r="N112" s="7">
        <f t="shared" si="44"/>
        <v>686.68751514954772</v>
      </c>
      <c r="O112" s="3"/>
      <c r="P112" s="9"/>
      <c r="Q112" s="9"/>
      <c r="R112" s="9"/>
      <c r="S112" s="9"/>
      <c r="T112" s="9"/>
      <c r="U112" s="3"/>
      <c r="V112" s="3"/>
    </row>
    <row r="113" spans="1:22" ht="15">
      <c r="A113" s="1">
        <f t="shared" si="43"/>
        <v>113</v>
      </c>
      <c r="B113" s="50" t="s">
        <v>226</v>
      </c>
      <c r="C113" s="4"/>
      <c r="D113" s="7">
        <f>SUM(D111:D112)</f>
        <v>0</v>
      </c>
      <c r="E113" s="7">
        <f t="shared" ref="E113:N113" si="45">E112</f>
        <v>362.37499200000002</v>
      </c>
      <c r="F113" s="7">
        <f t="shared" si="45"/>
        <v>404.57434926185618</v>
      </c>
      <c r="G113" s="7">
        <f t="shared" si="45"/>
        <v>451.24966241025453</v>
      </c>
      <c r="H113" s="7">
        <f t="shared" si="45"/>
        <v>463.54835011307875</v>
      </c>
      <c r="I113" s="7">
        <f t="shared" si="45"/>
        <v>533.59149241580553</v>
      </c>
      <c r="J113" s="7">
        <f t="shared" si="45"/>
        <v>565.09921784549238</v>
      </c>
      <c r="K113" s="7">
        <f t="shared" si="45"/>
        <v>583.20653772202911</v>
      </c>
      <c r="L113" s="7">
        <f t="shared" si="45"/>
        <v>615.84011236029937</v>
      </c>
      <c r="M113" s="7">
        <f t="shared" si="45"/>
        <v>650.29971281410872</v>
      </c>
      <c r="N113" s="7">
        <f t="shared" si="45"/>
        <v>686.68751514954772</v>
      </c>
      <c r="O113" s="3"/>
      <c r="P113" s="53"/>
      <c r="Q113" s="53"/>
      <c r="R113" s="53"/>
      <c r="S113" s="53"/>
      <c r="T113" s="53"/>
      <c r="U113" s="3"/>
      <c r="V113" s="3"/>
    </row>
    <row r="114" spans="1:22" ht="15">
      <c r="A114" s="1">
        <f t="shared" si="43"/>
        <v>114</v>
      </c>
      <c r="B114" s="50" t="s">
        <v>227</v>
      </c>
      <c r="C114" s="4"/>
      <c r="D114" s="1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3"/>
      <c r="P114" s="9"/>
      <c r="Q114" s="9"/>
      <c r="R114" s="3"/>
      <c r="S114" s="3"/>
      <c r="T114" s="3"/>
      <c r="U114" s="3"/>
      <c r="V114" s="3"/>
    </row>
    <row r="115" spans="1:22" ht="30">
      <c r="A115" s="1">
        <f t="shared" si="43"/>
        <v>115</v>
      </c>
      <c r="B115" s="50" t="s">
        <v>228</v>
      </c>
      <c r="C115" s="4"/>
      <c r="D115" s="7">
        <f>+D83</f>
        <v>20</v>
      </c>
      <c r="E115" s="7">
        <f t="shared" ref="E115:N115" si="46">+E107</f>
        <v>245.68481249999999</v>
      </c>
      <c r="F115" s="7">
        <f t="shared" si="46"/>
        <v>285.25756929967338</v>
      </c>
      <c r="G115" s="7">
        <f t="shared" si="46"/>
        <v>311.33294706167266</v>
      </c>
      <c r="H115" s="7">
        <f t="shared" si="46"/>
        <v>349.73276319420057</v>
      </c>
      <c r="I115" s="7">
        <f t="shared" si="46"/>
        <v>355.14832129003065</v>
      </c>
      <c r="J115" s="7">
        <f t="shared" si="46"/>
        <v>411.94828285139016</v>
      </c>
      <c r="K115" s="7">
        <f t="shared" si="46"/>
        <v>404.54908972693755</v>
      </c>
      <c r="L115" s="7">
        <f t="shared" si="46"/>
        <v>425.3244333387579</v>
      </c>
      <c r="M115" s="7">
        <f t="shared" si="46"/>
        <v>447.1666806049173</v>
      </c>
      <c r="N115" s="7">
        <f t="shared" si="46"/>
        <v>470.13062163762328</v>
      </c>
      <c r="O115" s="3"/>
      <c r="P115" s="9"/>
      <c r="Q115" s="9"/>
      <c r="R115" s="9"/>
      <c r="S115" s="9"/>
      <c r="T115" s="9"/>
      <c r="U115" s="3"/>
      <c r="V115" s="3"/>
    </row>
    <row r="116" spans="1:22" ht="15">
      <c r="A116" s="1">
        <f t="shared" si="43"/>
        <v>116</v>
      </c>
      <c r="B116" s="50" t="s">
        <v>38</v>
      </c>
      <c r="C116" s="4"/>
      <c r="D116" s="1"/>
      <c r="E116" s="7">
        <f>+E91+E86</f>
        <v>75.959515199999998</v>
      </c>
      <c r="F116" s="7">
        <f t="shared" ref="F116:N116" si="47">+F91+F86</f>
        <v>81.467087239287167</v>
      </c>
      <c r="G116" s="7">
        <f t="shared" si="47"/>
        <v>87.169195957930555</v>
      </c>
      <c r="H116" s="7">
        <f t="shared" si="47"/>
        <v>92.979654455793195</v>
      </c>
      <c r="I116" s="7">
        <f t="shared" si="47"/>
        <v>98.800278834684946</v>
      </c>
      <c r="J116" s="7">
        <f t="shared" si="47"/>
        <v>104.61806776848167</v>
      </c>
      <c r="K116" s="7">
        <f t="shared" si="47"/>
        <v>110.25077628537932</v>
      </c>
      <c r="L116" s="7">
        <f t="shared" si="47"/>
        <v>115.63062096419156</v>
      </c>
      <c r="M116" s="7">
        <f t="shared" si="47"/>
        <v>121.27837326329399</v>
      </c>
      <c r="N116" s="7">
        <f t="shared" si="47"/>
        <v>127.20761436982438</v>
      </c>
      <c r="O116" s="3"/>
      <c r="P116" s="9"/>
      <c r="Q116" s="9"/>
      <c r="R116" s="9"/>
      <c r="S116" s="9"/>
      <c r="T116" s="9"/>
      <c r="U116" s="3"/>
      <c r="V116" s="3"/>
    </row>
    <row r="117" spans="1:22" ht="15">
      <c r="A117" s="1">
        <f t="shared" si="43"/>
        <v>117</v>
      </c>
      <c r="B117" s="50" t="s">
        <v>217</v>
      </c>
      <c r="C117" s="4"/>
      <c r="D117" s="1"/>
      <c r="E117" s="7">
        <f t="shared" ref="E117:N117" si="48">+E187</f>
        <v>5.4693606800000323</v>
      </c>
      <c r="F117" s="7">
        <f t="shared" si="48"/>
        <v>8.2872138145587879</v>
      </c>
      <c r="G117" s="7">
        <f t="shared" si="48"/>
        <v>10.699655110182837</v>
      </c>
      <c r="H117" s="7">
        <f t="shared" si="48"/>
        <v>14.000199122128663</v>
      </c>
      <c r="I117" s="7">
        <f t="shared" si="48"/>
        <v>13.098071264426926</v>
      </c>
      <c r="J117" s="7">
        <f t="shared" si="48"/>
        <v>16.363759766143225</v>
      </c>
      <c r="K117" s="7">
        <f t="shared" si="48"/>
        <v>18.923711969306847</v>
      </c>
      <c r="L117" s="7">
        <f t="shared" si="48"/>
        <v>22.086706732305316</v>
      </c>
      <c r="M117" s="7">
        <f t="shared" si="48"/>
        <v>25.585042482542441</v>
      </c>
      <c r="N117" s="7">
        <f t="shared" si="48"/>
        <v>28.175845368406296</v>
      </c>
      <c r="O117" s="3"/>
      <c r="P117" s="9"/>
      <c r="Q117" s="9"/>
      <c r="R117" s="9"/>
      <c r="S117" s="9"/>
      <c r="T117" s="9"/>
      <c r="U117" s="3"/>
      <c r="V117" s="3"/>
    </row>
    <row r="118" spans="1:22" ht="15">
      <c r="A118" s="1">
        <f t="shared" si="43"/>
        <v>118</v>
      </c>
      <c r="B118" s="50" t="s">
        <v>230</v>
      </c>
      <c r="C118" s="4"/>
      <c r="D118" s="7">
        <f>SUM(D114:D117)</f>
        <v>20</v>
      </c>
      <c r="E118" s="7">
        <f t="shared" ref="E118:N118" si="49">SUM(E115:E117)</f>
        <v>327.11368837999999</v>
      </c>
      <c r="F118" s="7">
        <f t="shared" si="49"/>
        <v>375.01187035351933</v>
      </c>
      <c r="G118" s="7">
        <f t="shared" si="49"/>
        <v>409.20179812978603</v>
      </c>
      <c r="H118" s="7">
        <f t="shared" si="49"/>
        <v>456.71261677212243</v>
      </c>
      <c r="I118" s="7">
        <f t="shared" si="49"/>
        <v>467.04667138914255</v>
      </c>
      <c r="J118" s="7">
        <f t="shared" si="49"/>
        <v>532.93011038601503</v>
      </c>
      <c r="K118" s="7">
        <f t="shared" si="49"/>
        <v>533.72357798162375</v>
      </c>
      <c r="L118" s="7">
        <f t="shared" si="49"/>
        <v>563.04176103525481</v>
      </c>
      <c r="M118" s="7">
        <f t="shared" si="49"/>
        <v>594.03009635075375</v>
      </c>
      <c r="N118" s="7">
        <f t="shared" si="49"/>
        <v>625.51408137585395</v>
      </c>
      <c r="O118" s="3"/>
      <c r="P118" s="3"/>
      <c r="Q118" s="3"/>
      <c r="R118" s="3"/>
      <c r="S118" s="31"/>
      <c r="T118" s="31"/>
      <c r="U118" s="3"/>
      <c r="V118" s="3"/>
    </row>
    <row r="119" spans="1:22" ht="43.5" thickBot="1">
      <c r="A119" s="1">
        <f t="shared" si="43"/>
        <v>119</v>
      </c>
      <c r="B119" s="64" t="s">
        <v>231</v>
      </c>
      <c r="C119" s="4"/>
      <c r="D119" s="7">
        <f t="shared" ref="D119:I119" si="50">D113-D118</f>
        <v>-20</v>
      </c>
      <c r="E119" s="7">
        <f t="shared" si="50"/>
        <v>35.261303620000035</v>
      </c>
      <c r="F119" s="7">
        <f t="shared" si="50"/>
        <v>29.562478908336857</v>
      </c>
      <c r="G119" s="7">
        <f t="shared" si="50"/>
        <v>42.047864280468502</v>
      </c>
      <c r="H119" s="7">
        <f t="shared" si="50"/>
        <v>6.8357333409563239</v>
      </c>
      <c r="I119" s="7">
        <f t="shared" si="50"/>
        <v>66.544821026662987</v>
      </c>
      <c r="J119" s="7">
        <f>J113-J118</f>
        <v>32.169107459477345</v>
      </c>
      <c r="K119" s="7">
        <f>K113-K118</f>
        <v>49.482959740405363</v>
      </c>
      <c r="L119" s="7">
        <f>L113-L118</f>
        <v>52.798351325044564</v>
      </c>
      <c r="M119" s="7">
        <f>M113-M118</f>
        <v>56.269616463354964</v>
      </c>
      <c r="N119" s="7">
        <f>N113-N118</f>
        <v>61.173433773693773</v>
      </c>
      <c r="O119" s="1"/>
      <c r="P119" s="1"/>
      <c r="Q119" s="1"/>
      <c r="R119" s="1"/>
      <c r="S119" s="53"/>
      <c r="T119" s="53"/>
      <c r="U119" s="3"/>
      <c r="V119" s="3"/>
    </row>
    <row r="120" spans="1:22" ht="26.25" thickBot="1">
      <c r="A120" s="1">
        <f t="shared" si="43"/>
        <v>120</v>
      </c>
      <c r="B120" s="110" t="s">
        <v>234</v>
      </c>
      <c r="C120" s="4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1"/>
      <c r="P120" s="1"/>
      <c r="Q120" s="1"/>
      <c r="R120" s="1"/>
      <c r="S120" s="53"/>
      <c r="T120" s="53"/>
      <c r="U120" s="3"/>
      <c r="V120" s="3"/>
    </row>
    <row r="121" spans="1:22" ht="30">
      <c r="A121" s="1">
        <f t="shared" si="43"/>
        <v>121</v>
      </c>
      <c r="B121" s="50" t="s">
        <v>232</v>
      </c>
      <c r="C121" s="4"/>
      <c r="D121" s="7">
        <f>+activo_fijo</f>
        <v>45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30"/>
      <c r="P121" s="30"/>
      <c r="Q121" s="30"/>
      <c r="R121" s="3"/>
      <c r="S121" s="53"/>
      <c r="T121" s="53"/>
      <c r="U121" s="3"/>
      <c r="V121" s="3"/>
    </row>
    <row r="122" spans="1:22" ht="30">
      <c r="A122" s="1">
        <f t="shared" si="43"/>
        <v>122</v>
      </c>
      <c r="B122" s="50" t="s">
        <v>233</v>
      </c>
      <c r="C122" s="4"/>
      <c r="D122" s="7"/>
      <c r="E122" s="7">
        <f t="shared" ref="E122:N122" si="51">+E57</f>
        <v>0</v>
      </c>
      <c r="F122" s="7">
        <f t="shared" si="51"/>
        <v>0</v>
      </c>
      <c r="G122" s="7">
        <f t="shared" si="51"/>
        <v>0</v>
      </c>
      <c r="H122" s="7">
        <f t="shared" si="51"/>
        <v>56.305269589880119</v>
      </c>
      <c r="I122" s="7">
        <f t="shared" si="51"/>
        <v>0</v>
      </c>
      <c r="J122" s="7">
        <f t="shared" si="51"/>
        <v>0</v>
      </c>
      <c r="K122" s="7">
        <f t="shared" si="51"/>
        <v>0</v>
      </c>
      <c r="L122" s="7">
        <f t="shared" si="51"/>
        <v>0</v>
      </c>
      <c r="M122" s="7">
        <f t="shared" si="51"/>
        <v>68.069164353115411</v>
      </c>
      <c r="N122" s="7">
        <f t="shared" si="51"/>
        <v>0</v>
      </c>
      <c r="O122" s="3"/>
      <c r="P122" s="3"/>
      <c r="Q122" s="3"/>
      <c r="R122" s="3"/>
      <c r="S122" s="3"/>
      <c r="T122" s="3"/>
      <c r="U122" s="3"/>
      <c r="V122" s="3"/>
    </row>
    <row r="123" spans="1:22" ht="28.5">
      <c r="A123" s="1">
        <f t="shared" si="43"/>
        <v>123</v>
      </c>
      <c r="B123" s="64" t="s">
        <v>248</v>
      </c>
      <c r="C123" s="4"/>
      <c r="D123" s="7">
        <f>-D121-D122</f>
        <v>-45</v>
      </c>
      <c r="E123" s="7">
        <f t="shared" ref="E123:N123" si="52">-E122-E121</f>
        <v>0</v>
      </c>
      <c r="F123" s="7">
        <f t="shared" si="52"/>
        <v>0</v>
      </c>
      <c r="G123" s="7">
        <f t="shared" si="52"/>
        <v>0</v>
      </c>
      <c r="H123" s="7">
        <f t="shared" si="52"/>
        <v>-56.305269589880119</v>
      </c>
      <c r="I123" s="7">
        <f t="shared" si="52"/>
        <v>0</v>
      </c>
      <c r="J123" s="7">
        <f t="shared" si="52"/>
        <v>0</v>
      </c>
      <c r="K123" s="7">
        <f t="shared" si="52"/>
        <v>0</v>
      </c>
      <c r="L123" s="7">
        <f t="shared" si="52"/>
        <v>0</v>
      </c>
      <c r="M123" s="7">
        <f t="shared" si="52"/>
        <v>-68.069164353115411</v>
      </c>
      <c r="N123" s="7">
        <f t="shared" si="52"/>
        <v>0</v>
      </c>
      <c r="O123" s="1"/>
      <c r="P123" s="53"/>
      <c r="Q123" s="53"/>
      <c r="R123" s="53"/>
      <c r="S123" s="53"/>
      <c r="T123" s="53"/>
      <c r="U123" s="3"/>
      <c r="V123" s="3"/>
    </row>
    <row r="124" spans="1:22" ht="43.5" thickBot="1">
      <c r="A124" s="1">
        <f t="shared" si="43"/>
        <v>124</v>
      </c>
      <c r="B124" s="64" t="s">
        <v>247</v>
      </c>
      <c r="C124" s="4"/>
      <c r="D124" s="7">
        <f>+D123+D119</f>
        <v>-65</v>
      </c>
      <c r="E124" s="7">
        <f t="shared" ref="E124:N124" si="53">+E119+E123</f>
        <v>35.261303620000035</v>
      </c>
      <c r="F124" s="7">
        <f t="shared" si="53"/>
        <v>29.562478908336857</v>
      </c>
      <c r="G124" s="7">
        <f t="shared" si="53"/>
        <v>42.047864280468502</v>
      </c>
      <c r="H124" s="7">
        <f t="shared" si="53"/>
        <v>-49.469536248923795</v>
      </c>
      <c r="I124" s="7">
        <f t="shared" si="53"/>
        <v>66.544821026662987</v>
      </c>
      <c r="J124" s="7">
        <f t="shared" si="53"/>
        <v>32.169107459477345</v>
      </c>
      <c r="K124" s="7">
        <f t="shared" si="53"/>
        <v>49.482959740405363</v>
      </c>
      <c r="L124" s="7">
        <f t="shared" si="53"/>
        <v>52.798351325044564</v>
      </c>
      <c r="M124" s="7">
        <f t="shared" si="53"/>
        <v>-11.799547889760447</v>
      </c>
      <c r="N124" s="7">
        <f t="shared" si="53"/>
        <v>61.173433773693773</v>
      </c>
      <c r="O124" s="1"/>
      <c r="P124" s="53"/>
      <c r="Q124" s="53"/>
      <c r="R124" s="53"/>
      <c r="S124" s="53"/>
      <c r="T124" s="53"/>
      <c r="U124" s="3"/>
      <c r="V124" s="3"/>
    </row>
    <row r="125" spans="1:22" ht="26.25" thickBot="1">
      <c r="A125" s="1">
        <f t="shared" si="43"/>
        <v>125</v>
      </c>
      <c r="B125" s="110" t="s">
        <v>235</v>
      </c>
      <c r="C125" s="4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3"/>
      <c r="P125" s="53"/>
      <c r="Q125" s="53"/>
      <c r="R125" s="53"/>
      <c r="S125" s="53"/>
      <c r="T125" s="53"/>
      <c r="U125" s="3"/>
      <c r="V125" s="3"/>
    </row>
    <row r="126" spans="1:22" ht="12.75">
      <c r="A126" s="1">
        <f t="shared" si="43"/>
        <v>126</v>
      </c>
      <c r="B126" s="105" t="s">
        <v>236</v>
      </c>
      <c r="C126" s="4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3"/>
      <c r="P126" s="53"/>
      <c r="Q126" s="53"/>
      <c r="R126" s="53"/>
      <c r="S126" s="53"/>
      <c r="T126" s="53"/>
      <c r="U126" s="3"/>
      <c r="V126" s="3"/>
    </row>
    <row r="127" spans="1:22" ht="28.5">
      <c r="A127" s="1">
        <f t="shared" si="43"/>
        <v>127</v>
      </c>
      <c r="B127" s="106" t="s">
        <v>237</v>
      </c>
      <c r="C127" s="45"/>
      <c r="D127" s="7">
        <f>IF((D123+D139)&gt;0,0,-(D123+D139))</f>
        <v>30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3"/>
      <c r="P127" s="53"/>
      <c r="Q127" s="53"/>
      <c r="R127" s="53"/>
      <c r="S127" s="53"/>
      <c r="T127" s="53"/>
      <c r="U127" s="3"/>
      <c r="V127" s="3"/>
    </row>
    <row r="128" spans="1:22" ht="14.25">
      <c r="A128" s="1">
        <f t="shared" si="43"/>
        <v>128</v>
      </c>
      <c r="B128" s="67" t="s">
        <v>238</v>
      </c>
      <c r="C128" s="52"/>
      <c r="D128" s="7">
        <f>IF(D119-D$34&gt;0,0,-(D119-D$34))</f>
        <v>33</v>
      </c>
      <c r="E128" s="17">
        <f t="shared" ref="E128:N128" si="54">IF((E119-E133-E134)&gt;0,0,-(E119-E133-E134))</f>
        <v>2.0682963799999694</v>
      </c>
      <c r="F128" s="7">
        <f t="shared" si="54"/>
        <v>0</v>
      </c>
      <c r="G128" s="7">
        <f t="shared" si="54"/>
        <v>0</v>
      </c>
      <c r="H128" s="7">
        <f t="shared" si="54"/>
        <v>0</v>
      </c>
      <c r="I128" s="7">
        <f t="shared" si="54"/>
        <v>0</v>
      </c>
      <c r="J128" s="7">
        <f t="shared" si="54"/>
        <v>0</v>
      </c>
      <c r="K128" s="7">
        <f t="shared" si="54"/>
        <v>0</v>
      </c>
      <c r="L128" s="7">
        <f t="shared" si="54"/>
        <v>0</v>
      </c>
      <c r="M128" s="7">
        <f t="shared" si="54"/>
        <v>0</v>
      </c>
      <c r="N128" s="7">
        <f t="shared" si="54"/>
        <v>0</v>
      </c>
      <c r="O128" s="3"/>
      <c r="P128" s="3"/>
      <c r="Q128" s="3"/>
      <c r="R128" s="3"/>
      <c r="S128" s="3"/>
      <c r="T128" s="3"/>
      <c r="U128" s="3"/>
      <c r="V128" s="3"/>
    </row>
    <row r="129" spans="1:22" ht="28.5">
      <c r="A129" s="1">
        <f t="shared" si="43"/>
        <v>129</v>
      </c>
      <c r="B129" s="107" t="s">
        <v>239</v>
      </c>
      <c r="C129" s="4"/>
      <c r="D129" s="7"/>
      <c r="E129" s="17">
        <f t="shared" ref="E129:N129" si="55">IF((D149+E124+E128-E131-E132-E133-E134-E135-E136+E142+E144+E145-E$33)&gt;0,0,-(D149+E124+E128-E131-E132-E133-E134-E135-E136+E142+E144+E145-E$33))</f>
        <v>6.9360000000000053</v>
      </c>
      <c r="F129" s="17">
        <f t="shared" si="55"/>
        <v>0</v>
      </c>
      <c r="G129" s="17">
        <f t="shared" si="55"/>
        <v>0</v>
      </c>
      <c r="H129" s="17">
        <f t="shared" si="55"/>
        <v>44.360591480452527</v>
      </c>
      <c r="I129" s="17">
        <f t="shared" si="55"/>
        <v>0</v>
      </c>
      <c r="J129" s="17">
        <f>IF((I149+J124+J128-J131-J132-J133-J134-J135-J136+J142+J144+J145-J$33)&gt;0,0,-(I149+J124+J128-J131-J132-J133-J134-J135-J136+J142+J144+J145-J$33))</f>
        <v>0</v>
      </c>
      <c r="K129" s="17">
        <f t="shared" si="55"/>
        <v>0</v>
      </c>
      <c r="L129" s="17">
        <f t="shared" si="55"/>
        <v>0</v>
      </c>
      <c r="M129" s="17">
        <f t="shared" si="55"/>
        <v>0</v>
      </c>
      <c r="N129" s="17">
        <f t="shared" si="55"/>
        <v>0</v>
      </c>
      <c r="O129" s="3"/>
      <c r="P129" s="3"/>
      <c r="Q129" s="3"/>
      <c r="R129" s="3"/>
      <c r="S129" s="3"/>
      <c r="T129" s="3"/>
      <c r="U129" s="3"/>
      <c r="V129" s="3"/>
    </row>
    <row r="130" spans="1:22" ht="15">
      <c r="A130" s="1">
        <f t="shared" si="43"/>
        <v>130</v>
      </c>
      <c r="B130" s="50" t="s">
        <v>240</v>
      </c>
      <c r="C130" s="4"/>
      <c r="D130" s="1"/>
      <c r="E130" s="102"/>
      <c r="F130" s="7"/>
      <c r="G130" s="7"/>
      <c r="H130" s="7"/>
      <c r="I130" s="7"/>
      <c r="J130" s="7"/>
      <c r="K130" s="7"/>
      <c r="L130" s="7"/>
      <c r="M130" s="7"/>
      <c r="N130" s="7"/>
      <c r="O130" s="3"/>
      <c r="P130" s="30"/>
      <c r="Q130" s="30"/>
      <c r="R130" s="30"/>
      <c r="S130" s="30"/>
      <c r="T130" s="30"/>
      <c r="U130" s="3"/>
      <c r="V130" s="3"/>
    </row>
    <row r="131" spans="1:22" ht="28.5">
      <c r="A131" s="1">
        <f t="shared" si="43"/>
        <v>131</v>
      </c>
      <c r="B131" s="106" t="s">
        <v>242</v>
      </c>
      <c r="C131" s="4"/>
      <c r="D131" s="1"/>
      <c r="E131" s="7">
        <f t="shared" ref="E131:N131" si="56">+E156</f>
        <v>6</v>
      </c>
      <c r="F131" s="7">
        <f t="shared" si="56"/>
        <v>6</v>
      </c>
      <c r="G131" s="7">
        <f t="shared" si="56"/>
        <v>6</v>
      </c>
      <c r="H131" s="7">
        <f t="shared" si="56"/>
        <v>6</v>
      </c>
      <c r="I131" s="7">
        <f t="shared" si="56"/>
        <v>6</v>
      </c>
      <c r="J131" s="7">
        <f t="shared" si="56"/>
        <v>0</v>
      </c>
      <c r="K131" s="7">
        <f t="shared" si="56"/>
        <v>0</v>
      </c>
      <c r="L131" s="7">
        <f t="shared" si="56"/>
        <v>0</v>
      </c>
      <c r="M131" s="7">
        <f t="shared" si="56"/>
        <v>0</v>
      </c>
      <c r="N131" s="7">
        <f t="shared" si="56"/>
        <v>0</v>
      </c>
      <c r="O131" s="3"/>
      <c r="P131" s="30"/>
      <c r="Q131" s="30"/>
      <c r="R131" s="30"/>
      <c r="S131" s="30"/>
      <c r="T131" s="30"/>
      <c r="U131" s="3"/>
      <c r="V131" s="3"/>
    </row>
    <row r="132" spans="1:22" ht="28.5">
      <c r="A132" s="1">
        <f t="shared" si="43"/>
        <v>132</v>
      </c>
      <c r="B132" s="106" t="s">
        <v>241</v>
      </c>
      <c r="C132" s="4"/>
      <c r="D132" s="1"/>
      <c r="E132" s="7">
        <f t="shared" ref="E132:N132" si="57">+E155</f>
        <v>3.9360000000000044</v>
      </c>
      <c r="F132" s="7">
        <f t="shared" si="57"/>
        <v>3.2603999999999971</v>
      </c>
      <c r="G132" s="7">
        <f t="shared" si="57"/>
        <v>2.7035999999999989</v>
      </c>
      <c r="H132" s="7">
        <f t="shared" si="57"/>
        <v>1.3499999999999999</v>
      </c>
      <c r="I132" s="7">
        <f t="shared" si="57"/>
        <v>0.68939999999999912</v>
      </c>
      <c r="J132" s="7">
        <f t="shared" si="57"/>
        <v>0</v>
      </c>
      <c r="K132" s="7">
        <f t="shared" si="57"/>
        <v>0</v>
      </c>
      <c r="L132" s="7">
        <f t="shared" si="57"/>
        <v>0</v>
      </c>
      <c r="M132" s="7">
        <f t="shared" si="57"/>
        <v>0</v>
      </c>
      <c r="N132" s="7">
        <f t="shared" si="57"/>
        <v>0</v>
      </c>
      <c r="O132" s="3"/>
      <c r="P132" s="30"/>
      <c r="Q132" s="30"/>
      <c r="R132" s="30"/>
      <c r="S132" s="30"/>
      <c r="T132" s="30"/>
      <c r="U132" s="3"/>
      <c r="V132" s="3"/>
    </row>
    <row r="133" spans="1:22" ht="14.25">
      <c r="A133" s="1">
        <f t="shared" si="43"/>
        <v>133</v>
      </c>
      <c r="B133" s="67" t="s">
        <v>243</v>
      </c>
      <c r="C133" s="4"/>
      <c r="D133" s="1"/>
      <c r="E133" s="7">
        <f t="shared" ref="E133:N133" si="58">+D128</f>
        <v>33</v>
      </c>
      <c r="F133" s="7">
        <f t="shared" si="58"/>
        <v>2.0682963799999694</v>
      </c>
      <c r="G133" s="7">
        <f t="shared" si="58"/>
        <v>0</v>
      </c>
      <c r="H133" s="7">
        <f t="shared" si="58"/>
        <v>0</v>
      </c>
      <c r="I133" s="7">
        <f t="shared" si="58"/>
        <v>0</v>
      </c>
      <c r="J133" s="7">
        <f>+I128</f>
        <v>0</v>
      </c>
      <c r="K133" s="7">
        <f t="shared" si="58"/>
        <v>0</v>
      </c>
      <c r="L133" s="7">
        <f t="shared" si="58"/>
        <v>0</v>
      </c>
      <c r="M133" s="7">
        <f t="shared" si="58"/>
        <v>0</v>
      </c>
      <c r="N133" s="7">
        <f t="shared" si="58"/>
        <v>0</v>
      </c>
      <c r="O133" s="3"/>
      <c r="P133" s="30"/>
      <c r="Q133" s="30"/>
      <c r="R133" s="30"/>
      <c r="S133" s="30"/>
      <c r="T133" s="30"/>
      <c r="U133" s="3"/>
      <c r="V133" s="3"/>
    </row>
    <row r="134" spans="1:22" ht="15">
      <c r="A134" s="1">
        <f t="shared" si="43"/>
        <v>134</v>
      </c>
      <c r="B134" s="65" t="s">
        <v>244</v>
      </c>
      <c r="C134" s="4"/>
      <c r="D134" s="1"/>
      <c r="E134" s="7">
        <f t="shared" ref="E134:N134" si="59">+E163</f>
        <v>4.3296000000000046</v>
      </c>
      <c r="F134" s="7">
        <f t="shared" si="59"/>
        <v>0.28097806322299562</v>
      </c>
      <c r="G134" s="7">
        <f t="shared" si="59"/>
        <v>0</v>
      </c>
      <c r="H134" s="7">
        <f t="shared" si="59"/>
        <v>0</v>
      </c>
      <c r="I134" s="7">
        <f t="shared" si="59"/>
        <v>0</v>
      </c>
      <c r="J134" s="7">
        <f t="shared" si="59"/>
        <v>0</v>
      </c>
      <c r="K134" s="7">
        <f t="shared" si="59"/>
        <v>0</v>
      </c>
      <c r="L134" s="7">
        <f t="shared" si="59"/>
        <v>0</v>
      </c>
      <c r="M134" s="7">
        <f t="shared" si="59"/>
        <v>0</v>
      </c>
      <c r="N134" s="7">
        <f t="shared" si="59"/>
        <v>0</v>
      </c>
      <c r="O134" s="3"/>
      <c r="P134" s="30"/>
      <c r="Q134" s="30"/>
      <c r="R134" s="30"/>
      <c r="S134" s="30"/>
      <c r="T134" s="30"/>
      <c r="U134" s="3"/>
      <c r="V134" s="3"/>
    </row>
    <row r="135" spans="1:22" ht="14.25">
      <c r="A135" s="1">
        <f t="shared" si="43"/>
        <v>135</v>
      </c>
      <c r="B135" s="66" t="s">
        <v>245</v>
      </c>
      <c r="C135" s="4"/>
      <c r="D135" s="1"/>
      <c r="E135" s="7">
        <f t="shared" ref="E135:N135" si="60">+E171</f>
        <v>0</v>
      </c>
      <c r="F135" s="7">
        <f t="shared" si="60"/>
        <v>0.69360000000000055</v>
      </c>
      <c r="G135" s="7">
        <f t="shared" si="60"/>
        <v>0.69360000000000055</v>
      </c>
      <c r="H135" s="7">
        <f t="shared" si="60"/>
        <v>0.69360000000000055</v>
      </c>
      <c r="I135" s="7">
        <f t="shared" si="60"/>
        <v>5.1296591480452536</v>
      </c>
      <c r="J135" s="7">
        <f t="shared" si="60"/>
        <v>5.1296591480452536</v>
      </c>
      <c r="K135" s="7">
        <f t="shared" si="60"/>
        <v>5.1296591480452536</v>
      </c>
      <c r="L135" s="7">
        <f t="shared" si="60"/>
        <v>5.1296591480452536</v>
      </c>
      <c r="M135" s="7">
        <f t="shared" si="60"/>
        <v>5.1296591480452536</v>
      </c>
      <c r="N135" s="7">
        <f t="shared" si="60"/>
        <v>5.1296591480452536</v>
      </c>
      <c r="O135" s="3"/>
      <c r="P135" s="30"/>
      <c r="Q135" s="30"/>
      <c r="R135" s="30"/>
      <c r="S135" s="30"/>
      <c r="T135" s="30"/>
      <c r="U135" s="3"/>
      <c r="V135" s="3"/>
    </row>
    <row r="136" spans="1:22" ht="15">
      <c r="A136" s="1">
        <f t="shared" si="43"/>
        <v>136</v>
      </c>
      <c r="B136" s="65" t="s">
        <v>246</v>
      </c>
      <c r="C136" s="4"/>
      <c r="D136" s="1"/>
      <c r="E136" s="7">
        <f t="shared" ref="E136:N136" si="61">+E170</f>
        <v>0</v>
      </c>
      <c r="F136" s="7">
        <f t="shared" si="61"/>
        <v>0.94225559999999997</v>
      </c>
      <c r="G136" s="7">
        <f t="shared" si="61"/>
        <v>0.9376084800000003</v>
      </c>
      <c r="H136" s="7">
        <f t="shared" si="61"/>
        <v>0.62424000000000035</v>
      </c>
      <c r="I136" s="7">
        <f t="shared" si="61"/>
        <v>5.6548944411039885</v>
      </c>
      <c r="J136" s="7">
        <f t="shared" si="61"/>
        <v>5.0963568976262854</v>
      </c>
      <c r="K136" s="7">
        <f t="shared" si="61"/>
        <v>4.3039111574083107</v>
      </c>
      <c r="L136" s="7">
        <f t="shared" si="61"/>
        <v>3.5639931268663365</v>
      </c>
      <c r="M136" s="7">
        <f t="shared" si="61"/>
        <v>3.0235322390282886</v>
      </c>
      <c r="N136" s="7">
        <f t="shared" si="61"/>
        <v>2.4830713511902403</v>
      </c>
      <c r="O136" s="3"/>
      <c r="P136" s="30"/>
      <c r="Q136" s="30"/>
      <c r="R136" s="30"/>
      <c r="S136" s="30"/>
      <c r="T136" s="30"/>
      <c r="U136" s="3"/>
      <c r="V136" s="3"/>
    </row>
    <row r="137" spans="1:22" ht="30.75" thickBot="1">
      <c r="A137" s="1">
        <f t="shared" si="43"/>
        <v>137</v>
      </c>
      <c r="B137" s="50" t="s">
        <v>249</v>
      </c>
      <c r="C137" s="4"/>
      <c r="D137" s="9">
        <f>SUM(C127:D136)</f>
        <v>63</v>
      </c>
      <c r="E137" s="7">
        <f t="shared" ref="E137:N137" si="62">SUM(E127:E129)-SUM(E131:E136)</f>
        <v>-38.261303620000035</v>
      </c>
      <c r="F137" s="7">
        <f t="shared" si="62"/>
        <v>-13.245530043222962</v>
      </c>
      <c r="G137" s="7">
        <f t="shared" si="62"/>
        <v>-10.334808479999998</v>
      </c>
      <c r="H137" s="7">
        <f t="shared" si="62"/>
        <v>35.692751480452529</v>
      </c>
      <c r="I137" s="7">
        <f t="shared" si="62"/>
        <v>-17.473953589149239</v>
      </c>
      <c r="J137" s="7">
        <f t="shared" si="62"/>
        <v>-10.226016045671539</v>
      </c>
      <c r="K137" s="7">
        <f t="shared" si="62"/>
        <v>-9.4335703054535642</v>
      </c>
      <c r="L137" s="7">
        <f t="shared" si="62"/>
        <v>-8.6936522749115905</v>
      </c>
      <c r="M137" s="7">
        <f t="shared" si="62"/>
        <v>-8.1531913870735426</v>
      </c>
      <c r="N137" s="7">
        <f t="shared" si="62"/>
        <v>-7.6127304992354938</v>
      </c>
      <c r="O137" s="1"/>
      <c r="P137" s="3"/>
      <c r="Q137" s="53"/>
      <c r="R137" s="30"/>
      <c r="S137" s="30"/>
      <c r="T137" s="30"/>
      <c r="U137" s="3"/>
      <c r="V137" s="3"/>
    </row>
    <row r="138" spans="1:22" ht="26.25" thickBot="1">
      <c r="A138" s="1">
        <f t="shared" si="43"/>
        <v>138</v>
      </c>
      <c r="B138" s="110" t="s">
        <v>250</v>
      </c>
      <c r="C138" s="4"/>
      <c r="D138" s="9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3"/>
      <c r="P138" s="3"/>
      <c r="Q138" s="53"/>
      <c r="R138" s="30"/>
      <c r="S138" s="30"/>
      <c r="T138" s="30"/>
      <c r="U138" s="3"/>
      <c r="V138" s="3"/>
    </row>
    <row r="139" spans="1:22" ht="30">
      <c r="A139" s="1">
        <f t="shared" si="43"/>
        <v>139</v>
      </c>
      <c r="B139" s="50" t="s">
        <v>251</v>
      </c>
      <c r="C139" s="4"/>
      <c r="D139" s="7">
        <f>patrimonio_inicial</f>
        <v>15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3"/>
      <c r="P139" s="3"/>
      <c r="Q139" s="3"/>
      <c r="R139" s="30"/>
      <c r="S139" s="30"/>
      <c r="T139" s="30"/>
      <c r="U139" s="3"/>
      <c r="V139" s="3"/>
    </row>
    <row r="140" spans="1:22" ht="15">
      <c r="A140" s="1">
        <f t="shared" si="43"/>
        <v>140</v>
      </c>
      <c r="B140" s="50" t="s">
        <v>252</v>
      </c>
      <c r="C140" s="4"/>
      <c r="D140" s="7"/>
      <c r="E140" s="7">
        <f t="shared" ref="E140:N140" si="63">+D189</f>
        <v>0</v>
      </c>
      <c r="F140" s="7">
        <f t="shared" si="63"/>
        <v>7.1101688840000419</v>
      </c>
      <c r="G140" s="7">
        <f t="shared" si="63"/>
        <v>11.235094157166129</v>
      </c>
      <c r="H140" s="7">
        <f t="shared" si="63"/>
        <v>15.300506807561462</v>
      </c>
      <c r="I140" s="7">
        <f t="shared" si="63"/>
        <v>15.600221878943369</v>
      </c>
      <c r="J140" s="7">
        <f>+I189</f>
        <v>15.811243169201076</v>
      </c>
      <c r="K140" s="7">
        <f t="shared" si="63"/>
        <v>0</v>
      </c>
      <c r="L140" s="7">
        <f t="shared" si="63"/>
        <v>0</v>
      </c>
      <c r="M140" s="7">
        <f t="shared" si="63"/>
        <v>0</v>
      </c>
      <c r="N140" s="7">
        <f t="shared" si="63"/>
        <v>0</v>
      </c>
      <c r="O140" s="3"/>
      <c r="P140" s="3"/>
      <c r="Q140" s="3"/>
      <c r="R140" s="3"/>
      <c r="S140" s="3"/>
      <c r="T140" s="3"/>
      <c r="U140" s="3"/>
      <c r="V140" s="3"/>
    </row>
    <row r="141" spans="1:22" ht="15">
      <c r="A141" s="1">
        <f t="shared" si="43"/>
        <v>141</v>
      </c>
      <c r="B141" s="50" t="s">
        <v>253</v>
      </c>
      <c r="C141" s="4"/>
      <c r="D141" s="7"/>
      <c r="E141" s="7">
        <f t="shared" ref="E141:N141" si="64">+E191</f>
        <v>0</v>
      </c>
      <c r="F141" s="7">
        <f t="shared" si="64"/>
        <v>0</v>
      </c>
      <c r="G141" s="7">
        <f t="shared" si="64"/>
        <v>0</v>
      </c>
      <c r="H141" s="7">
        <f t="shared" si="64"/>
        <v>0</v>
      </c>
      <c r="I141" s="7">
        <f t="shared" si="64"/>
        <v>0</v>
      </c>
      <c r="J141" s="7">
        <f t="shared" si="64"/>
        <v>0</v>
      </c>
      <c r="K141" s="7">
        <f t="shared" si="64"/>
        <v>0</v>
      </c>
      <c r="L141" s="7">
        <f t="shared" si="64"/>
        <v>0</v>
      </c>
      <c r="M141" s="7">
        <f t="shared" si="64"/>
        <v>0</v>
      </c>
      <c r="N141" s="7">
        <f t="shared" si="64"/>
        <v>0</v>
      </c>
      <c r="O141" s="3"/>
      <c r="P141" s="3"/>
      <c r="Q141" s="3"/>
      <c r="R141" s="3"/>
      <c r="S141" s="3"/>
      <c r="T141" s="3"/>
      <c r="U141" s="3"/>
      <c r="V141" s="3"/>
    </row>
    <row r="142" spans="1:22" ht="30">
      <c r="A142" s="1">
        <f t="shared" si="43"/>
        <v>142</v>
      </c>
      <c r="B142" s="50" t="s">
        <v>254</v>
      </c>
      <c r="C142" s="4"/>
      <c r="D142" s="7">
        <f t="shared" ref="D142:I142" si="65">+D139-D140-D141</f>
        <v>15</v>
      </c>
      <c r="E142" s="7">
        <f t="shared" si="65"/>
        <v>0</v>
      </c>
      <c r="F142" s="7">
        <f t="shared" si="65"/>
        <v>-7.1101688840000419</v>
      </c>
      <c r="G142" s="7">
        <f t="shared" si="65"/>
        <v>-11.235094157166129</v>
      </c>
      <c r="H142" s="7">
        <f t="shared" si="65"/>
        <v>-15.300506807561462</v>
      </c>
      <c r="I142" s="7">
        <f t="shared" si="65"/>
        <v>-15.600221878943369</v>
      </c>
      <c r="J142" s="7">
        <f>+J139-J140-J141</f>
        <v>-15.811243169201076</v>
      </c>
      <c r="K142" s="7">
        <f>+K139-K140-K141</f>
        <v>0</v>
      </c>
      <c r="L142" s="7">
        <f>+L139-L140-L141</f>
        <v>0</v>
      </c>
      <c r="M142" s="7">
        <f>+M139-M140-M141</f>
        <v>0</v>
      </c>
      <c r="N142" s="7">
        <f>+N139-N140-N141</f>
        <v>0</v>
      </c>
      <c r="O142" s="3"/>
      <c r="P142" s="3"/>
      <c r="Q142" s="3"/>
      <c r="R142" s="3"/>
      <c r="S142" s="3"/>
      <c r="T142" s="3"/>
      <c r="U142" s="3"/>
      <c r="V142" s="3"/>
    </row>
    <row r="143" spans="1:22" ht="30">
      <c r="A143" s="1">
        <f t="shared" si="43"/>
        <v>143</v>
      </c>
      <c r="B143" s="111" t="s">
        <v>255</v>
      </c>
      <c r="C143" s="4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3"/>
      <c r="P143" s="3"/>
      <c r="Q143" s="3"/>
      <c r="R143" s="3"/>
      <c r="S143" s="3"/>
      <c r="T143" s="3"/>
      <c r="U143" s="3"/>
      <c r="V143" s="3"/>
    </row>
    <row r="144" spans="1:22" ht="30">
      <c r="A144" s="1">
        <f t="shared" si="43"/>
        <v>144</v>
      </c>
      <c r="B144" s="50" t="s">
        <v>256</v>
      </c>
      <c r="C144" s="4"/>
      <c r="D144" s="3"/>
      <c r="E144" s="7">
        <f t="shared" ref="E144:N144" si="66">D146</f>
        <v>0</v>
      </c>
      <c r="F144" s="7">
        <f t="shared" si="66"/>
        <v>0</v>
      </c>
      <c r="G144" s="7">
        <f t="shared" si="66"/>
        <v>8.2067799811138507</v>
      </c>
      <c r="H144" s="7">
        <f t="shared" si="66"/>
        <v>28.442555687872272</v>
      </c>
      <c r="I144" s="7">
        <f t="shared" si="66"/>
        <v>8.8817841970012523E-15</v>
      </c>
      <c r="J144" s="7">
        <f>I146</f>
        <v>32.470645558570389</v>
      </c>
      <c r="K144" s="7">
        <f t="shared" si="66"/>
        <v>39.811448043632268</v>
      </c>
      <c r="L144" s="7">
        <f t="shared" si="66"/>
        <v>81.176451866756693</v>
      </c>
      <c r="M144" s="7">
        <f t="shared" si="66"/>
        <v>128.51201753160072</v>
      </c>
      <c r="N144" s="7">
        <f t="shared" si="66"/>
        <v>114.13627049828341</v>
      </c>
      <c r="O144" s="3"/>
      <c r="P144" s="3"/>
      <c r="Q144" s="3"/>
      <c r="R144" s="3"/>
      <c r="S144" s="3"/>
      <c r="T144" s="3"/>
      <c r="U144" s="3"/>
      <c r="V144" s="3"/>
    </row>
    <row r="145" spans="1:22" ht="30">
      <c r="A145" s="1">
        <f t="shared" si="43"/>
        <v>145</v>
      </c>
      <c r="B145" s="50" t="s">
        <v>257</v>
      </c>
      <c r="C145" s="4"/>
      <c r="D145" s="3"/>
      <c r="E145" s="7">
        <f t="shared" ref="E145:N145" si="67">E58*E144</f>
        <v>0</v>
      </c>
      <c r="F145" s="7">
        <f t="shared" si="67"/>
        <v>0</v>
      </c>
      <c r="G145" s="7">
        <f t="shared" si="67"/>
        <v>0.75781406345605251</v>
      </c>
      <c r="H145" s="7">
        <f t="shared" si="67"/>
        <v>1.6347358881604588</v>
      </c>
      <c r="I145" s="7">
        <f t="shared" si="67"/>
        <v>5.5604409965326212E-16</v>
      </c>
      <c r="J145" s="7">
        <f t="shared" si="67"/>
        <v>1.9742152499610786</v>
      </c>
      <c r="K145" s="7">
        <f t="shared" si="67"/>
        <v>2.2174976560303117</v>
      </c>
      <c r="L145" s="7">
        <f t="shared" si="67"/>
        <v>4.1075284644578867</v>
      </c>
      <c r="M145" s="7">
        <f t="shared" si="67"/>
        <v>6.5027080870989939</v>
      </c>
      <c r="N145" s="7">
        <f t="shared" si="67"/>
        <v>5.7752952872131385</v>
      </c>
      <c r="O145" s="3"/>
      <c r="P145" s="3"/>
      <c r="Q145" s="3"/>
      <c r="R145" s="3"/>
      <c r="S145" s="3"/>
      <c r="T145" s="3"/>
      <c r="U145" s="3"/>
      <c r="V145" s="3"/>
    </row>
    <row r="146" spans="1:22" ht="15">
      <c r="A146" s="1">
        <f t="shared" si="43"/>
        <v>146</v>
      </c>
      <c r="B146" s="50" t="s">
        <v>258</v>
      </c>
      <c r="C146" s="4"/>
      <c r="D146" s="17">
        <f>IF(C149+D119+D123+D137+D142+D144+D145-D34&gt;0,C149+D119+D123+D137+D142+D144+D145-D34,0)</f>
        <v>0</v>
      </c>
      <c r="E146" s="17">
        <f>IF(D149+E119+E123+E137+E142+E144+E145-E33&gt;0,D149+E119+E123+E137+E142+E144+E145-E33,0)</f>
        <v>0</v>
      </c>
      <c r="F146" s="17">
        <f t="shared" ref="F146:N146" si="68">IF(F128&gt;0,0,(IF((E149+F119+F123+F137+F142+F144+F145-F33)&gt;0,E149+F119+F123+F137+F142+F144+F145-F33,0)))</f>
        <v>8.2067799811138507</v>
      </c>
      <c r="G146" s="17">
        <f t="shared" si="68"/>
        <v>28.442555687872272</v>
      </c>
      <c r="H146" s="17">
        <f t="shared" si="68"/>
        <v>8.8817841970012523E-15</v>
      </c>
      <c r="I146" s="17">
        <f t="shared" si="68"/>
        <v>32.470645558570389</v>
      </c>
      <c r="J146" s="17">
        <f t="shared" si="68"/>
        <v>39.811448043632268</v>
      </c>
      <c r="K146" s="17">
        <f t="shared" si="68"/>
        <v>81.176451866756693</v>
      </c>
      <c r="L146" s="17">
        <f t="shared" si="68"/>
        <v>128.51201753160072</v>
      </c>
      <c r="M146" s="17">
        <f t="shared" si="68"/>
        <v>114.13627049828341</v>
      </c>
      <c r="N146" s="17">
        <f t="shared" si="68"/>
        <v>172.49475438504706</v>
      </c>
      <c r="O146" s="3"/>
      <c r="P146" s="3"/>
      <c r="Q146" s="3"/>
      <c r="R146" s="3"/>
      <c r="S146" s="3"/>
      <c r="T146" s="3"/>
      <c r="U146" s="3"/>
      <c r="V146" s="3"/>
    </row>
    <row r="147" spans="1:22" ht="30">
      <c r="A147" s="1">
        <f t="shared" si="43"/>
        <v>147</v>
      </c>
      <c r="B147" s="50" t="s">
        <v>259</v>
      </c>
      <c r="C147" s="4"/>
      <c r="D147" s="7">
        <f t="shared" ref="D147:I147" si="69">+D144+D145-D146</f>
        <v>0</v>
      </c>
      <c r="E147" s="7">
        <f t="shared" si="69"/>
        <v>0</v>
      </c>
      <c r="F147" s="7">
        <f t="shared" si="69"/>
        <v>-8.2067799811138507</v>
      </c>
      <c r="G147" s="7">
        <f t="shared" si="69"/>
        <v>-19.477961643302368</v>
      </c>
      <c r="H147" s="7">
        <f t="shared" si="69"/>
        <v>30.077291576032721</v>
      </c>
      <c r="I147" s="7">
        <f t="shared" si="69"/>
        <v>-32.470645558570382</v>
      </c>
      <c r="J147" s="7">
        <f>+J144+J145-J146</f>
        <v>-5.3665872351008019</v>
      </c>
      <c r="K147" s="7">
        <f>+K144+K145-K146</f>
        <v>-39.147506167094114</v>
      </c>
      <c r="L147" s="7">
        <f>+L144+L145-L146</f>
        <v>-43.22803720038614</v>
      </c>
      <c r="M147" s="7">
        <f>+M144+M145-M146</f>
        <v>20.878455120416305</v>
      </c>
      <c r="N147" s="7">
        <f>+N144+N145-N146</f>
        <v>-52.58318859955051</v>
      </c>
      <c r="O147" s="3"/>
      <c r="P147" s="3"/>
      <c r="Q147" s="3"/>
      <c r="R147" s="3"/>
      <c r="S147" s="3"/>
      <c r="T147" s="3"/>
      <c r="U147" s="3"/>
      <c r="V147" s="3"/>
    </row>
    <row r="148" spans="1:22" ht="15">
      <c r="A148" s="1">
        <f t="shared" si="43"/>
        <v>148</v>
      </c>
      <c r="B148" s="50" t="s">
        <v>260</v>
      </c>
      <c r="C148" s="4"/>
      <c r="D148" s="7">
        <f>+D119+D123+D137+D142+D147</f>
        <v>13</v>
      </c>
      <c r="E148" s="7">
        <f t="shared" ref="E148:N148" si="70">+E147+E142+E137+E123+E119</f>
        <v>-3</v>
      </c>
      <c r="F148" s="7">
        <f t="shared" si="70"/>
        <v>1</v>
      </c>
      <c r="G148" s="7">
        <f t="shared" si="70"/>
        <v>1.0000000000000071</v>
      </c>
      <c r="H148" s="7">
        <f t="shared" si="70"/>
        <v>0.99999999999999289</v>
      </c>
      <c r="I148" s="7">
        <f t="shared" si="70"/>
        <v>1</v>
      </c>
      <c r="J148" s="7">
        <f t="shared" si="70"/>
        <v>0.76526100950392717</v>
      </c>
      <c r="K148" s="7">
        <f t="shared" si="70"/>
        <v>0.90188326785768425</v>
      </c>
      <c r="L148" s="7">
        <f t="shared" si="70"/>
        <v>0.87666184974683148</v>
      </c>
      <c r="M148" s="7">
        <f t="shared" si="70"/>
        <v>0.92571584358231718</v>
      </c>
      <c r="N148" s="7">
        <f t="shared" si="70"/>
        <v>0.97751467490776633</v>
      </c>
      <c r="O148" s="3"/>
      <c r="P148" s="3"/>
      <c r="Q148" s="3"/>
      <c r="R148" s="3"/>
      <c r="S148" s="3"/>
      <c r="T148" s="3"/>
      <c r="U148" s="3"/>
      <c r="V148" s="3"/>
    </row>
    <row r="149" spans="1:22" ht="15">
      <c r="A149" s="1">
        <f t="shared" si="43"/>
        <v>149</v>
      </c>
      <c r="B149" s="50" t="s">
        <v>261</v>
      </c>
      <c r="C149" s="4"/>
      <c r="D149" s="7">
        <f>+D148</f>
        <v>13</v>
      </c>
      <c r="E149" s="7">
        <f t="shared" ref="E149:N149" si="71">+D149+E148</f>
        <v>10</v>
      </c>
      <c r="F149" s="7">
        <f t="shared" si="71"/>
        <v>11</v>
      </c>
      <c r="G149" s="7">
        <f t="shared" si="71"/>
        <v>12.000000000000007</v>
      </c>
      <c r="H149" s="7">
        <f t="shared" si="71"/>
        <v>13</v>
      </c>
      <c r="I149" s="7">
        <f t="shared" si="71"/>
        <v>14</v>
      </c>
      <c r="J149" s="7">
        <f>+I149+J148</f>
        <v>14.765261009503927</v>
      </c>
      <c r="K149" s="7">
        <f t="shared" si="71"/>
        <v>15.667144277361611</v>
      </c>
      <c r="L149" s="7">
        <f t="shared" si="71"/>
        <v>16.543806127108443</v>
      </c>
      <c r="M149" s="7">
        <f t="shared" si="71"/>
        <v>17.46952197069076</v>
      </c>
      <c r="N149" s="7">
        <f t="shared" si="71"/>
        <v>18.447036645598526</v>
      </c>
      <c r="O149" s="3"/>
      <c r="P149" s="3"/>
      <c r="Q149" s="3"/>
      <c r="R149" s="3"/>
      <c r="S149" s="3"/>
      <c r="T149" s="3"/>
      <c r="U149" s="3"/>
      <c r="V149" s="3"/>
    </row>
    <row r="150" spans="1:22" ht="15">
      <c r="A150" s="1">
        <f t="shared" si="43"/>
        <v>150</v>
      </c>
      <c r="B150" s="50"/>
      <c r="C150" s="4"/>
      <c r="D150" s="7"/>
      <c r="E150" s="7"/>
      <c r="F150" s="7"/>
      <c r="G150" s="7"/>
      <c r="H150" s="7"/>
      <c r="I150" s="7"/>
      <c r="J150" s="25"/>
      <c r="K150" s="2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">
      <c r="A151" s="1">
        <f t="shared" si="43"/>
        <v>151</v>
      </c>
      <c r="B151" s="50"/>
      <c r="C151" s="4"/>
      <c r="D151" s="7"/>
      <c r="E151" s="7"/>
      <c r="F151" s="7"/>
      <c r="G151" s="7"/>
      <c r="H151" s="7"/>
      <c r="I151" s="7"/>
      <c r="J151" s="25"/>
      <c r="K151" s="2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">
      <c r="A152" s="1">
        <f t="shared" ref="A152:A175" si="72">ROW(B152)</f>
        <v>152</v>
      </c>
      <c r="B152" s="109" t="s">
        <v>53</v>
      </c>
      <c r="C152" s="4"/>
      <c r="D152" s="7"/>
      <c r="E152" s="7"/>
      <c r="F152" s="7"/>
      <c r="G152" s="7"/>
      <c r="H152" s="7"/>
      <c r="I152" s="7"/>
      <c r="J152" s="25"/>
      <c r="K152" s="2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">
      <c r="A153" s="1">
        <f t="shared" si="72"/>
        <v>153</v>
      </c>
      <c r="B153" s="6"/>
      <c r="C153" s="69" t="s">
        <v>70</v>
      </c>
      <c r="D153" s="69">
        <v>0</v>
      </c>
      <c r="E153" s="69">
        <v>1</v>
      </c>
      <c r="F153" s="69">
        <v>2</v>
      </c>
      <c r="G153" s="69">
        <v>3</v>
      </c>
      <c r="H153" s="69">
        <v>4</v>
      </c>
      <c r="I153" s="69">
        <v>5</v>
      </c>
      <c r="J153" s="75"/>
      <c r="K153" s="7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">
      <c r="A154" s="1">
        <f t="shared" si="72"/>
        <v>154</v>
      </c>
      <c r="B154" s="6" t="s">
        <v>54</v>
      </c>
      <c r="C154" s="4"/>
      <c r="D154" s="7"/>
      <c r="E154" s="7">
        <f t="shared" ref="E154:N154" si="73">D158</f>
        <v>30</v>
      </c>
      <c r="F154" s="7">
        <f t="shared" si="73"/>
        <v>24</v>
      </c>
      <c r="G154" s="7">
        <f t="shared" si="73"/>
        <v>18</v>
      </c>
      <c r="H154" s="7">
        <f t="shared" si="73"/>
        <v>12</v>
      </c>
      <c r="I154" s="7">
        <f t="shared" si="73"/>
        <v>6</v>
      </c>
      <c r="J154" s="7">
        <f>I158</f>
        <v>0</v>
      </c>
      <c r="K154" s="7">
        <f t="shared" si="73"/>
        <v>0</v>
      </c>
      <c r="L154" s="7">
        <f t="shared" si="73"/>
        <v>0</v>
      </c>
      <c r="M154" s="7">
        <f t="shared" si="73"/>
        <v>0</v>
      </c>
      <c r="N154" s="7">
        <f t="shared" si="73"/>
        <v>0</v>
      </c>
      <c r="O154" s="3"/>
      <c r="P154" s="3"/>
      <c r="Q154" s="3"/>
      <c r="R154" s="3"/>
      <c r="S154" s="3"/>
      <c r="T154" s="3"/>
      <c r="U154" s="3"/>
      <c r="V154" s="3"/>
    </row>
    <row r="155" spans="1:22" ht="15">
      <c r="A155" s="1">
        <f t="shared" si="72"/>
        <v>155</v>
      </c>
      <c r="B155" s="33" t="s">
        <v>55</v>
      </c>
      <c r="C155" s="4"/>
      <c r="D155" s="7"/>
      <c r="E155" s="7">
        <f t="shared" ref="E155:N155" si="74">E159*E154</f>
        <v>3.9360000000000044</v>
      </c>
      <c r="F155" s="7">
        <f t="shared" si="74"/>
        <v>3.2603999999999971</v>
      </c>
      <c r="G155" s="7">
        <f t="shared" si="74"/>
        <v>2.7035999999999989</v>
      </c>
      <c r="H155" s="7">
        <f t="shared" si="74"/>
        <v>1.3499999999999999</v>
      </c>
      <c r="I155" s="7">
        <f t="shared" si="74"/>
        <v>0.68939999999999912</v>
      </c>
      <c r="J155" s="7">
        <f t="shared" si="74"/>
        <v>0</v>
      </c>
      <c r="K155" s="7">
        <f t="shared" si="74"/>
        <v>0</v>
      </c>
      <c r="L155" s="7">
        <f t="shared" si="74"/>
        <v>0</v>
      </c>
      <c r="M155" s="7">
        <f t="shared" si="74"/>
        <v>0</v>
      </c>
      <c r="N155" s="7">
        <f t="shared" si="74"/>
        <v>0</v>
      </c>
      <c r="O155" s="3"/>
      <c r="P155" s="3"/>
      <c r="Q155" s="3"/>
      <c r="R155" s="3"/>
      <c r="S155" s="3"/>
      <c r="T155" s="3"/>
      <c r="U155" s="3"/>
      <c r="V155" s="3"/>
    </row>
    <row r="156" spans="1:22" ht="15">
      <c r="A156" s="1">
        <f t="shared" si="72"/>
        <v>156</v>
      </c>
      <c r="B156" s="6" t="s">
        <v>167</v>
      </c>
      <c r="C156" s="4"/>
      <c r="D156" s="7"/>
      <c r="E156" s="7">
        <f>+($D$158)/$D$13</f>
        <v>6</v>
      </c>
      <c r="F156" s="7">
        <f>+($D$158)/$D$13</f>
        <v>6</v>
      </c>
      <c r="G156" s="7">
        <f>+($D$158)/$D$13</f>
        <v>6</v>
      </c>
      <c r="H156" s="7">
        <f>+($D$158)/$D$13</f>
        <v>6</v>
      </c>
      <c r="I156" s="7">
        <f>+($D$158)/$D$13</f>
        <v>6</v>
      </c>
      <c r="J156" s="7"/>
      <c r="K156" s="7"/>
      <c r="L156" s="7"/>
      <c r="M156" s="7"/>
      <c r="N156" s="7"/>
      <c r="O156" s="3"/>
      <c r="P156" s="3"/>
      <c r="Q156" s="3"/>
      <c r="R156" s="3"/>
      <c r="S156" s="3"/>
      <c r="T156" s="3"/>
      <c r="U156" s="3"/>
      <c r="V156" s="3"/>
    </row>
    <row r="157" spans="1:22" ht="15">
      <c r="A157" s="1">
        <f t="shared" si="72"/>
        <v>157</v>
      </c>
      <c r="B157" s="6" t="s">
        <v>56</v>
      </c>
      <c r="C157" s="4"/>
      <c r="D157" s="7"/>
      <c r="E157" s="7">
        <f t="shared" ref="E157:N157" si="75">E155+E156</f>
        <v>9.9360000000000035</v>
      </c>
      <c r="F157" s="7">
        <f t="shared" si="75"/>
        <v>9.2603999999999971</v>
      </c>
      <c r="G157" s="7">
        <f t="shared" si="75"/>
        <v>8.703599999999998</v>
      </c>
      <c r="H157" s="7">
        <f t="shared" si="75"/>
        <v>7.35</v>
      </c>
      <c r="I157" s="7">
        <f t="shared" si="75"/>
        <v>6.6893999999999991</v>
      </c>
      <c r="J157" s="7">
        <f t="shared" si="75"/>
        <v>0</v>
      </c>
      <c r="K157" s="7">
        <f t="shared" si="75"/>
        <v>0</v>
      </c>
      <c r="L157" s="7">
        <f t="shared" si="75"/>
        <v>0</v>
      </c>
      <c r="M157" s="7">
        <f t="shared" si="75"/>
        <v>0</v>
      </c>
      <c r="N157" s="7">
        <f t="shared" si="75"/>
        <v>0</v>
      </c>
      <c r="O157" s="3"/>
      <c r="P157" s="3"/>
      <c r="Q157" s="3"/>
      <c r="R157" s="3"/>
      <c r="S157" s="3"/>
      <c r="T157" s="3"/>
      <c r="U157" s="3"/>
      <c r="V157" s="3"/>
    </row>
    <row r="158" spans="1:22" ht="15">
      <c r="A158" s="1">
        <f t="shared" si="72"/>
        <v>158</v>
      </c>
      <c r="B158" s="6" t="s">
        <v>57</v>
      </c>
      <c r="C158" s="4"/>
      <c r="D158" s="7">
        <f>+D127</f>
        <v>30</v>
      </c>
      <c r="E158" s="7">
        <f t="shared" ref="E158:N158" si="76">E154-E156</f>
        <v>24</v>
      </c>
      <c r="F158" s="7">
        <f t="shared" si="76"/>
        <v>18</v>
      </c>
      <c r="G158" s="7">
        <f t="shared" si="76"/>
        <v>12</v>
      </c>
      <c r="H158" s="7">
        <f t="shared" si="76"/>
        <v>6</v>
      </c>
      <c r="I158" s="7">
        <f t="shared" si="76"/>
        <v>0</v>
      </c>
      <c r="J158" s="7">
        <f t="shared" si="76"/>
        <v>0</v>
      </c>
      <c r="K158" s="7">
        <f t="shared" si="76"/>
        <v>0</v>
      </c>
      <c r="L158" s="7">
        <f t="shared" si="76"/>
        <v>0</v>
      </c>
      <c r="M158" s="7">
        <f t="shared" si="76"/>
        <v>0</v>
      </c>
      <c r="N158" s="7">
        <f t="shared" si="76"/>
        <v>0</v>
      </c>
      <c r="O158" s="3"/>
      <c r="P158" s="3"/>
      <c r="Q158" s="3"/>
      <c r="R158" s="3"/>
      <c r="S158" s="3"/>
      <c r="T158" s="3"/>
      <c r="U158" s="3"/>
      <c r="V158" s="3"/>
    </row>
    <row r="159" spans="1:22" ht="15">
      <c r="A159" s="1">
        <f t="shared" si="72"/>
        <v>159</v>
      </c>
      <c r="B159" s="6" t="s">
        <v>58</v>
      </c>
      <c r="C159" s="4"/>
      <c r="D159" s="7"/>
      <c r="E159" s="19">
        <f t="shared" ref="E159:N159" si="77">+E60</f>
        <v>0.13120000000000015</v>
      </c>
      <c r="F159" s="19">
        <f t="shared" si="77"/>
        <v>0.13584999999999989</v>
      </c>
      <c r="G159" s="19">
        <f t="shared" si="77"/>
        <v>0.15019999999999994</v>
      </c>
      <c r="H159" s="19">
        <f t="shared" si="77"/>
        <v>0.11249999999999999</v>
      </c>
      <c r="I159" s="19">
        <f t="shared" si="77"/>
        <v>0.11489999999999985</v>
      </c>
      <c r="J159" s="19">
        <f t="shared" si="77"/>
        <v>0.11560000000000011</v>
      </c>
      <c r="K159" s="19">
        <f t="shared" si="77"/>
        <v>0.11047999999999987</v>
      </c>
      <c r="L159" s="19">
        <f t="shared" si="77"/>
        <v>0.10536000000000008</v>
      </c>
      <c r="M159" s="19">
        <f t="shared" si="77"/>
        <v>0.10536000000000008</v>
      </c>
      <c r="N159" s="19">
        <f t="shared" si="77"/>
        <v>0.10536000000000008</v>
      </c>
      <c r="O159" s="3"/>
      <c r="P159" s="3"/>
      <c r="Q159" s="3"/>
      <c r="R159" s="3"/>
      <c r="S159" s="3"/>
      <c r="T159" s="3"/>
      <c r="U159" s="3"/>
      <c r="V159" s="3"/>
    </row>
    <row r="160" spans="1:22" ht="15">
      <c r="A160" s="1">
        <f t="shared" si="72"/>
        <v>160</v>
      </c>
      <c r="B160" s="33" t="s">
        <v>59</v>
      </c>
      <c r="C160" s="4"/>
      <c r="D160" s="46"/>
      <c r="E160" s="47"/>
      <c r="F160" s="47"/>
      <c r="G160" s="47"/>
      <c r="H160" s="48"/>
      <c r="I160" s="48"/>
      <c r="J160" s="48"/>
      <c r="K160" s="48"/>
      <c r="L160" s="48"/>
      <c r="M160" s="48"/>
      <c r="N160" s="48"/>
      <c r="O160" s="3"/>
      <c r="P160" s="3"/>
      <c r="Q160" s="3"/>
      <c r="R160" s="3"/>
      <c r="S160" s="3"/>
      <c r="T160" s="3"/>
      <c r="U160" s="3"/>
      <c r="V160" s="3"/>
    </row>
    <row r="161" spans="1:22" ht="15">
      <c r="A161" s="1">
        <f t="shared" si="72"/>
        <v>161</v>
      </c>
      <c r="B161" s="6"/>
      <c r="C161" s="69" t="s">
        <v>70</v>
      </c>
      <c r="D161" s="69">
        <v>0</v>
      </c>
      <c r="E161" s="69">
        <v>1</v>
      </c>
      <c r="F161" s="69">
        <v>2</v>
      </c>
      <c r="G161" s="69">
        <v>3</v>
      </c>
      <c r="H161" s="69">
        <v>4</v>
      </c>
      <c r="I161" s="69">
        <v>5</v>
      </c>
      <c r="J161" s="69">
        <v>6</v>
      </c>
      <c r="K161" s="69">
        <v>7</v>
      </c>
      <c r="L161" s="69">
        <v>8</v>
      </c>
      <c r="M161" s="69">
        <v>9</v>
      </c>
      <c r="N161" s="69">
        <v>10</v>
      </c>
      <c r="O161" s="3"/>
      <c r="P161" s="3"/>
      <c r="Q161" s="3"/>
      <c r="R161" s="3"/>
      <c r="S161" s="3"/>
      <c r="T161" s="3"/>
      <c r="U161" s="3"/>
      <c r="V161" s="3"/>
    </row>
    <row r="162" spans="1:22" ht="15">
      <c r="A162" s="1">
        <f t="shared" si="72"/>
        <v>162</v>
      </c>
      <c r="B162" s="6" t="s">
        <v>54</v>
      </c>
      <c r="C162" s="4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3"/>
      <c r="P162" s="3"/>
      <c r="Q162" s="3"/>
      <c r="R162" s="3"/>
      <c r="S162" s="3"/>
      <c r="T162" s="3"/>
      <c r="U162" s="3"/>
      <c r="V162" s="3"/>
    </row>
    <row r="163" spans="1:22" ht="15">
      <c r="A163" s="1">
        <f t="shared" si="72"/>
        <v>163</v>
      </c>
      <c r="B163" s="33" t="s">
        <v>60</v>
      </c>
      <c r="C163" s="4"/>
      <c r="D163" s="7"/>
      <c r="E163" s="7">
        <f t="shared" ref="E163:N163" si="78">+D166*E167</f>
        <v>4.3296000000000046</v>
      </c>
      <c r="F163" s="7">
        <f t="shared" si="78"/>
        <v>0.28097806322299562</v>
      </c>
      <c r="G163" s="7">
        <f t="shared" si="78"/>
        <v>0</v>
      </c>
      <c r="H163" s="7">
        <f t="shared" si="78"/>
        <v>0</v>
      </c>
      <c r="I163" s="7">
        <f t="shared" si="78"/>
        <v>0</v>
      </c>
      <c r="J163" s="7">
        <f>+I166*J167</f>
        <v>0</v>
      </c>
      <c r="K163" s="7">
        <f t="shared" si="78"/>
        <v>0</v>
      </c>
      <c r="L163" s="7">
        <f t="shared" si="78"/>
        <v>0</v>
      </c>
      <c r="M163" s="7">
        <f t="shared" si="78"/>
        <v>0</v>
      </c>
      <c r="N163" s="7">
        <f t="shared" si="78"/>
        <v>0</v>
      </c>
      <c r="O163" s="3"/>
      <c r="P163" s="3"/>
      <c r="Q163" s="3"/>
      <c r="R163" s="3"/>
      <c r="S163" s="3"/>
      <c r="T163" s="3"/>
      <c r="U163" s="3"/>
      <c r="V163" s="3"/>
    </row>
    <row r="164" spans="1:22" ht="15">
      <c r="A164" s="1">
        <f t="shared" si="72"/>
        <v>164</v>
      </c>
      <c r="B164" s="33" t="s">
        <v>168</v>
      </c>
      <c r="C164" s="4"/>
      <c r="D164" s="7"/>
      <c r="E164" s="7">
        <f t="shared" ref="E164:N164" si="79">+D166/$D$15</f>
        <v>33</v>
      </c>
      <c r="F164" s="7">
        <f t="shared" si="79"/>
        <v>2.0682963799999694</v>
      </c>
      <c r="G164" s="7">
        <f t="shared" si="79"/>
        <v>0</v>
      </c>
      <c r="H164" s="7">
        <f t="shared" si="79"/>
        <v>0</v>
      </c>
      <c r="I164" s="7">
        <f t="shared" si="79"/>
        <v>0</v>
      </c>
      <c r="J164" s="7">
        <f>+I166/$D$15</f>
        <v>0</v>
      </c>
      <c r="K164" s="7">
        <f t="shared" si="79"/>
        <v>0</v>
      </c>
      <c r="L164" s="7">
        <f t="shared" si="79"/>
        <v>0</v>
      </c>
      <c r="M164" s="7">
        <f t="shared" si="79"/>
        <v>0</v>
      </c>
      <c r="N164" s="7">
        <f t="shared" si="79"/>
        <v>0</v>
      </c>
      <c r="O164" s="3"/>
      <c r="P164" s="3"/>
      <c r="Q164" s="3"/>
      <c r="R164" s="3"/>
      <c r="S164" s="3"/>
      <c r="T164" s="3"/>
      <c r="U164" s="3"/>
      <c r="V164" s="3"/>
    </row>
    <row r="165" spans="1:22" ht="15">
      <c r="A165" s="1">
        <f t="shared" si="72"/>
        <v>165</v>
      </c>
      <c r="B165" s="33" t="s">
        <v>61</v>
      </c>
      <c r="C165" s="4"/>
      <c r="D165" s="7"/>
      <c r="E165" s="7">
        <f t="shared" ref="E165:N165" si="80">SUM(E163:E164)</f>
        <v>37.329600000000006</v>
      </c>
      <c r="F165" s="7">
        <f t="shared" si="80"/>
        <v>2.3492744432229649</v>
      </c>
      <c r="G165" s="7">
        <f t="shared" si="80"/>
        <v>0</v>
      </c>
      <c r="H165" s="7">
        <f t="shared" si="80"/>
        <v>0</v>
      </c>
      <c r="I165" s="7">
        <f t="shared" si="80"/>
        <v>0</v>
      </c>
      <c r="J165" s="7">
        <f t="shared" si="80"/>
        <v>0</v>
      </c>
      <c r="K165" s="7">
        <f t="shared" si="80"/>
        <v>0</v>
      </c>
      <c r="L165" s="7">
        <f t="shared" si="80"/>
        <v>0</v>
      </c>
      <c r="M165" s="7">
        <f t="shared" si="80"/>
        <v>0</v>
      </c>
      <c r="N165" s="7">
        <f t="shared" si="80"/>
        <v>0</v>
      </c>
      <c r="O165" s="3"/>
      <c r="P165" s="3"/>
      <c r="Q165" s="3"/>
      <c r="R165" s="3"/>
      <c r="S165" s="3"/>
      <c r="T165" s="3"/>
      <c r="U165" s="3"/>
      <c r="V165" s="3"/>
    </row>
    <row r="166" spans="1:22" ht="15">
      <c r="A166" s="1">
        <f t="shared" si="72"/>
        <v>166</v>
      </c>
      <c r="B166" s="6" t="s">
        <v>57</v>
      </c>
      <c r="C166" s="4"/>
      <c r="D166" s="7">
        <f>+D128</f>
        <v>33</v>
      </c>
      <c r="E166" s="7">
        <f t="shared" ref="E166:N166" si="81">+D166-E164+E128</f>
        <v>2.0682963799999694</v>
      </c>
      <c r="F166" s="7">
        <f t="shared" si="81"/>
        <v>0</v>
      </c>
      <c r="G166" s="7">
        <f t="shared" si="81"/>
        <v>0</v>
      </c>
      <c r="H166" s="7">
        <f t="shared" si="81"/>
        <v>0</v>
      </c>
      <c r="I166" s="7">
        <f t="shared" si="81"/>
        <v>0</v>
      </c>
      <c r="J166" s="7">
        <f>+I166-J164+J128</f>
        <v>0</v>
      </c>
      <c r="K166" s="7">
        <f t="shared" si="81"/>
        <v>0</v>
      </c>
      <c r="L166" s="7">
        <f t="shared" si="81"/>
        <v>0</v>
      </c>
      <c r="M166" s="7">
        <f t="shared" si="81"/>
        <v>0</v>
      </c>
      <c r="N166" s="7">
        <f t="shared" si="81"/>
        <v>0</v>
      </c>
      <c r="O166" s="3"/>
      <c r="P166" s="3"/>
      <c r="Q166" s="3"/>
      <c r="R166" s="3"/>
      <c r="S166" s="3"/>
      <c r="T166" s="3"/>
      <c r="U166" s="3"/>
      <c r="V166" s="3"/>
    </row>
    <row r="167" spans="1:22" ht="15">
      <c r="A167" s="1">
        <f t="shared" si="72"/>
        <v>167</v>
      </c>
      <c r="B167" s="6" t="s">
        <v>58</v>
      </c>
      <c r="C167" s="4"/>
      <c r="D167" s="7"/>
      <c r="E167" s="19">
        <f t="shared" ref="E167:N167" si="82">+E159</f>
        <v>0.13120000000000015</v>
      </c>
      <c r="F167" s="19">
        <f t="shared" si="82"/>
        <v>0.13584999999999989</v>
      </c>
      <c r="G167" s="19">
        <f t="shared" si="82"/>
        <v>0.15019999999999994</v>
      </c>
      <c r="H167" s="19">
        <f t="shared" si="82"/>
        <v>0.11249999999999999</v>
      </c>
      <c r="I167" s="19">
        <f t="shared" si="82"/>
        <v>0.11489999999999985</v>
      </c>
      <c r="J167" s="19">
        <f t="shared" si="82"/>
        <v>0.11560000000000011</v>
      </c>
      <c r="K167" s="19">
        <f t="shared" si="82"/>
        <v>0.11047999999999987</v>
      </c>
      <c r="L167" s="19">
        <f t="shared" si="82"/>
        <v>0.10536000000000008</v>
      </c>
      <c r="M167" s="19">
        <f t="shared" si="82"/>
        <v>0.10536000000000008</v>
      </c>
      <c r="N167" s="19">
        <f t="shared" si="82"/>
        <v>0.10536000000000008</v>
      </c>
      <c r="O167" s="3"/>
      <c r="P167" s="3"/>
      <c r="Q167" s="3"/>
      <c r="R167" s="3"/>
      <c r="S167" s="3"/>
      <c r="T167" s="3"/>
      <c r="U167" s="3"/>
      <c r="V167" s="3"/>
    </row>
    <row r="168" spans="1:22" ht="15">
      <c r="A168" s="1">
        <f t="shared" si="72"/>
        <v>168</v>
      </c>
      <c r="B168" s="6"/>
      <c r="C168" s="69" t="s">
        <v>70</v>
      </c>
      <c r="D168" s="69">
        <v>0</v>
      </c>
      <c r="E168" s="69">
        <v>1</v>
      </c>
      <c r="F168" s="69">
        <v>2</v>
      </c>
      <c r="G168" s="69">
        <v>3</v>
      </c>
      <c r="H168" s="69">
        <v>4</v>
      </c>
      <c r="I168" s="69">
        <v>5</v>
      </c>
      <c r="J168" s="69">
        <v>6</v>
      </c>
      <c r="K168" s="69">
        <v>7</v>
      </c>
      <c r="L168" s="69">
        <v>8</v>
      </c>
      <c r="M168" s="69">
        <v>9</v>
      </c>
      <c r="N168" s="69">
        <v>10</v>
      </c>
      <c r="O168" s="3"/>
      <c r="P168" s="1"/>
      <c r="Q168" s="3"/>
      <c r="R168" s="3"/>
      <c r="S168" s="3"/>
      <c r="T168" s="3"/>
      <c r="U168" s="3"/>
      <c r="V168" s="3"/>
    </row>
    <row r="169" spans="1:22" ht="15">
      <c r="A169" s="1">
        <f t="shared" si="72"/>
        <v>169</v>
      </c>
      <c r="B169" s="6" t="s">
        <v>54</v>
      </c>
      <c r="C169" s="4"/>
      <c r="D169" s="7"/>
      <c r="E169" s="7">
        <f t="shared" ref="E169:N169" si="83">+D173</f>
        <v>0</v>
      </c>
      <c r="F169" s="7">
        <f t="shared" si="83"/>
        <v>6.9360000000000053</v>
      </c>
      <c r="G169" s="7">
        <f t="shared" si="83"/>
        <v>6.2424000000000044</v>
      </c>
      <c r="H169" s="7">
        <f t="shared" si="83"/>
        <v>5.5488000000000035</v>
      </c>
      <c r="I169" s="7">
        <f t="shared" si="83"/>
        <v>49.21579148045253</v>
      </c>
      <c r="J169" s="7">
        <f>+I173</f>
        <v>44.086132332407274</v>
      </c>
      <c r="K169" s="7">
        <f t="shared" si="83"/>
        <v>38.956473184362018</v>
      </c>
      <c r="L169" s="7">
        <f t="shared" si="83"/>
        <v>33.826814036316762</v>
      </c>
      <c r="M169" s="7">
        <f t="shared" si="83"/>
        <v>28.697154888271509</v>
      </c>
      <c r="N169" s="7">
        <f t="shared" si="83"/>
        <v>23.567495740226256</v>
      </c>
      <c r="O169" s="3"/>
      <c r="P169" s="3"/>
      <c r="Q169" s="3"/>
      <c r="R169" s="3"/>
      <c r="S169" s="3"/>
      <c r="T169" s="3"/>
      <c r="U169" s="3"/>
      <c r="V169" s="3"/>
    </row>
    <row r="170" spans="1:22" ht="15">
      <c r="A170" s="1">
        <f t="shared" si="72"/>
        <v>170</v>
      </c>
      <c r="B170" s="33" t="s">
        <v>62</v>
      </c>
      <c r="C170" s="4"/>
      <c r="D170" s="7"/>
      <c r="E170" s="7">
        <f t="shared" ref="E170:N170" si="84">+E174*D173</f>
        <v>0</v>
      </c>
      <c r="F170" s="7">
        <f t="shared" si="84"/>
        <v>0.94225559999999997</v>
      </c>
      <c r="G170" s="7">
        <f t="shared" si="84"/>
        <v>0.9376084800000003</v>
      </c>
      <c r="H170" s="7">
        <f t="shared" si="84"/>
        <v>0.62424000000000035</v>
      </c>
      <c r="I170" s="7">
        <f t="shared" si="84"/>
        <v>5.6548944411039885</v>
      </c>
      <c r="J170" s="7">
        <f>+J174*I173</f>
        <v>5.0963568976262854</v>
      </c>
      <c r="K170" s="7">
        <f t="shared" si="84"/>
        <v>4.3039111574083107</v>
      </c>
      <c r="L170" s="7">
        <f t="shared" si="84"/>
        <v>3.5639931268663365</v>
      </c>
      <c r="M170" s="7">
        <f t="shared" si="84"/>
        <v>3.0235322390282886</v>
      </c>
      <c r="N170" s="7">
        <f t="shared" si="84"/>
        <v>2.4830713511902403</v>
      </c>
      <c r="O170" s="3"/>
      <c r="P170" s="3"/>
      <c r="Q170" s="3"/>
      <c r="R170" s="3"/>
      <c r="S170" s="3"/>
      <c r="T170" s="3"/>
      <c r="U170" s="3"/>
      <c r="V170" s="3"/>
    </row>
    <row r="171" spans="1:22" ht="15">
      <c r="A171" s="1">
        <f t="shared" si="72"/>
        <v>171</v>
      </c>
      <c r="B171" s="33" t="s">
        <v>69</v>
      </c>
      <c r="C171" s="4"/>
      <c r="D171" s="7"/>
      <c r="E171" s="7">
        <f t="shared" ref="E171:N171" si="85">+D171+D129/$D$14</f>
        <v>0</v>
      </c>
      <c r="F171" s="7">
        <f t="shared" si="85"/>
        <v>0.69360000000000055</v>
      </c>
      <c r="G171" s="7">
        <f t="shared" si="85"/>
        <v>0.69360000000000055</v>
      </c>
      <c r="H171" s="7">
        <f t="shared" si="85"/>
        <v>0.69360000000000055</v>
      </c>
      <c r="I171" s="7">
        <f t="shared" si="85"/>
        <v>5.1296591480452536</v>
      </c>
      <c r="J171" s="7">
        <f>+I171+I129/$D$14</f>
        <v>5.1296591480452536</v>
      </c>
      <c r="K171" s="7">
        <f t="shared" si="85"/>
        <v>5.1296591480452536</v>
      </c>
      <c r="L171" s="7">
        <f t="shared" si="85"/>
        <v>5.1296591480452536</v>
      </c>
      <c r="M171" s="7">
        <f t="shared" si="85"/>
        <v>5.1296591480452536</v>
      </c>
      <c r="N171" s="7">
        <f t="shared" si="85"/>
        <v>5.1296591480452536</v>
      </c>
      <c r="O171" s="3"/>
      <c r="P171" s="3"/>
      <c r="Q171" s="3"/>
      <c r="R171" s="3"/>
      <c r="S171" s="3"/>
      <c r="T171" s="3"/>
      <c r="U171" s="3"/>
      <c r="V171" s="3"/>
    </row>
    <row r="172" spans="1:22" ht="15">
      <c r="A172" s="1">
        <f t="shared" si="72"/>
        <v>172</v>
      </c>
      <c r="B172" s="33" t="s">
        <v>63</v>
      </c>
      <c r="C172" s="4"/>
      <c r="D172" s="7"/>
      <c r="E172" s="7">
        <f t="shared" ref="E172:N172" si="86">E170+E171</f>
        <v>0</v>
      </c>
      <c r="F172" s="7">
        <f t="shared" si="86"/>
        <v>1.6358556000000006</v>
      </c>
      <c r="G172" s="7">
        <f t="shared" si="86"/>
        <v>1.6312084800000008</v>
      </c>
      <c r="H172" s="7">
        <f t="shared" si="86"/>
        <v>1.3178400000000008</v>
      </c>
      <c r="I172" s="7">
        <f t="shared" si="86"/>
        <v>10.784553589149242</v>
      </c>
      <c r="J172" s="7">
        <f t="shared" si="86"/>
        <v>10.226016045671539</v>
      </c>
      <c r="K172" s="7">
        <f t="shared" si="86"/>
        <v>9.4335703054535642</v>
      </c>
      <c r="L172" s="7">
        <f t="shared" si="86"/>
        <v>8.6936522749115905</v>
      </c>
      <c r="M172" s="7">
        <f t="shared" si="86"/>
        <v>8.1531913870735426</v>
      </c>
      <c r="N172" s="7">
        <f t="shared" si="86"/>
        <v>7.6127304992354938</v>
      </c>
      <c r="O172" s="3"/>
      <c r="P172" s="3"/>
      <c r="Q172" s="3"/>
      <c r="R172" s="3"/>
      <c r="S172" s="3"/>
      <c r="T172" s="3"/>
      <c r="U172" s="3"/>
      <c r="V172" s="3"/>
    </row>
    <row r="173" spans="1:22" ht="15">
      <c r="A173" s="1">
        <f t="shared" si="72"/>
        <v>173</v>
      </c>
      <c r="B173" s="6" t="s">
        <v>57</v>
      </c>
      <c r="C173" s="4"/>
      <c r="D173" s="7">
        <f>+D129</f>
        <v>0</v>
      </c>
      <c r="E173" s="7">
        <f t="shared" ref="E173:N173" si="87">+E169-E171+E129</f>
        <v>6.9360000000000053</v>
      </c>
      <c r="F173" s="7">
        <f t="shared" si="87"/>
        <v>6.2424000000000044</v>
      </c>
      <c r="G173" s="7">
        <f t="shared" si="87"/>
        <v>5.5488000000000035</v>
      </c>
      <c r="H173" s="7">
        <f t="shared" si="87"/>
        <v>49.21579148045253</v>
      </c>
      <c r="I173" s="7">
        <f t="shared" si="87"/>
        <v>44.086132332407274</v>
      </c>
      <c r="J173" s="7">
        <f t="shared" si="87"/>
        <v>38.956473184362018</v>
      </c>
      <c r="K173" s="7">
        <f t="shared" si="87"/>
        <v>33.826814036316762</v>
      </c>
      <c r="L173" s="7">
        <f t="shared" si="87"/>
        <v>28.697154888271509</v>
      </c>
      <c r="M173" s="7">
        <f t="shared" si="87"/>
        <v>23.567495740226256</v>
      </c>
      <c r="N173" s="7">
        <f t="shared" si="87"/>
        <v>18.437836592181004</v>
      </c>
      <c r="O173" s="3"/>
      <c r="P173" s="3"/>
      <c r="Q173" s="3"/>
      <c r="R173" s="3"/>
      <c r="S173" s="3"/>
      <c r="T173" s="3"/>
      <c r="U173" s="3"/>
      <c r="V173" s="3"/>
    </row>
    <row r="174" spans="1:22" ht="15">
      <c r="A174" s="1">
        <f t="shared" si="72"/>
        <v>174</v>
      </c>
      <c r="B174" s="6" t="s">
        <v>58</v>
      </c>
      <c r="C174" s="4"/>
      <c r="D174" s="7"/>
      <c r="E174" s="19">
        <f t="shared" ref="E174:N174" si="88">E159</f>
        <v>0.13120000000000015</v>
      </c>
      <c r="F174" s="19">
        <f t="shared" si="88"/>
        <v>0.13584999999999989</v>
      </c>
      <c r="G174" s="19">
        <f t="shared" si="88"/>
        <v>0.15019999999999994</v>
      </c>
      <c r="H174" s="19">
        <f t="shared" si="88"/>
        <v>0.11249999999999999</v>
      </c>
      <c r="I174" s="19">
        <f t="shared" si="88"/>
        <v>0.11489999999999985</v>
      </c>
      <c r="J174" s="19">
        <f t="shared" si="88"/>
        <v>0.11560000000000011</v>
      </c>
      <c r="K174" s="19">
        <f t="shared" si="88"/>
        <v>0.11047999999999987</v>
      </c>
      <c r="L174" s="19">
        <f t="shared" si="88"/>
        <v>0.10536000000000008</v>
      </c>
      <c r="M174" s="19">
        <f t="shared" si="88"/>
        <v>0.10536000000000008</v>
      </c>
      <c r="N174" s="19">
        <f t="shared" si="88"/>
        <v>0.10536000000000008</v>
      </c>
      <c r="O174" s="3"/>
      <c r="P174" s="3"/>
      <c r="Q174" s="3"/>
      <c r="R174" s="3"/>
      <c r="S174" s="3"/>
      <c r="T174" s="3"/>
      <c r="U174" s="3"/>
      <c r="V174" s="3"/>
    </row>
    <row r="175" spans="1:22" ht="15">
      <c r="A175" s="1">
        <f t="shared" si="72"/>
        <v>175</v>
      </c>
      <c r="B175" s="6"/>
      <c r="C175" s="4"/>
      <c r="D175" s="7"/>
      <c r="E175" s="19"/>
      <c r="F175" s="19"/>
      <c r="G175" s="19"/>
      <c r="H175" s="19"/>
      <c r="I175" s="19"/>
      <c r="J175" s="25"/>
      <c r="K175" s="25"/>
      <c r="L175" s="3"/>
      <c r="M175" s="3"/>
      <c r="N175" s="18"/>
      <c r="O175" s="3"/>
      <c r="P175" s="3"/>
      <c r="Q175" s="3"/>
      <c r="R175" s="3"/>
      <c r="S175" s="3"/>
      <c r="T175" s="3"/>
      <c r="U175" s="3"/>
      <c r="V175" s="3"/>
    </row>
    <row r="176" spans="1:22" ht="15">
      <c r="A176" s="1">
        <f t="shared" ref="A176:A191" si="89">ROW(B176)</f>
        <v>176</v>
      </c>
      <c r="B176" s="108" t="s">
        <v>216</v>
      </c>
      <c r="C176" s="69" t="s">
        <v>70</v>
      </c>
      <c r="D176" s="69">
        <v>0</v>
      </c>
      <c r="E176" s="69">
        <v>1</v>
      </c>
      <c r="F176" s="69">
        <v>2</v>
      </c>
      <c r="G176" s="69">
        <v>3</v>
      </c>
      <c r="H176" s="69">
        <v>4</v>
      </c>
      <c r="I176" s="69">
        <v>5</v>
      </c>
      <c r="J176" s="75"/>
      <c r="K176" s="7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">
      <c r="A177" s="1">
        <f t="shared" si="89"/>
        <v>177</v>
      </c>
      <c r="B177" s="43" t="s">
        <v>64</v>
      </c>
      <c r="C177" s="4"/>
      <c r="D177" s="1"/>
      <c r="E177" s="7">
        <f t="shared" ref="E177:N177" si="90">+E53</f>
        <v>381.44736000000006</v>
      </c>
      <c r="F177" s="7">
        <f t="shared" si="90"/>
        <v>410.10849070410239</v>
      </c>
      <c r="G177" s="7">
        <f t="shared" si="90"/>
        <v>444.41995100834208</v>
      </c>
      <c r="H177" s="7">
        <f t="shared" si="90"/>
        <v>479.32424954058615</v>
      </c>
      <c r="I177" s="7">
        <f t="shared" si="90"/>
        <v>515.50391231748915</v>
      </c>
      <c r="J177" s="7">
        <f t="shared" si="90"/>
        <v>549.63410047596767</v>
      </c>
      <c r="K177" s="7">
        <f t="shared" si="90"/>
        <v>583.20653772202911</v>
      </c>
      <c r="L177" s="7">
        <f t="shared" si="90"/>
        <v>615.84011236029937</v>
      </c>
      <c r="M177" s="7">
        <f t="shared" si="90"/>
        <v>650.29971281410872</v>
      </c>
      <c r="N177" s="7">
        <f t="shared" si="90"/>
        <v>686.68751514954772</v>
      </c>
      <c r="O177" s="3"/>
      <c r="P177" s="3"/>
      <c r="Q177" s="3"/>
      <c r="R177" s="3"/>
      <c r="S177" s="3"/>
      <c r="T177" s="3"/>
      <c r="U177" s="3"/>
      <c r="V177" s="3"/>
    </row>
    <row r="178" spans="1:22" ht="15">
      <c r="A178" s="1">
        <f t="shared" si="89"/>
        <v>178</v>
      </c>
      <c r="B178" s="43" t="s">
        <v>37</v>
      </c>
      <c r="C178" s="4"/>
      <c r="D178" s="1"/>
      <c r="E178" s="7">
        <f t="shared" ref="E178:N178" si="91">+E85</f>
        <v>270.34549999999996</v>
      </c>
      <c r="F178" s="7">
        <f t="shared" si="91"/>
        <v>289.23001604570999</v>
      </c>
      <c r="G178" s="7">
        <f t="shared" si="91"/>
        <v>312.54691746191662</v>
      </c>
      <c r="H178" s="7">
        <f t="shared" si="91"/>
        <v>334.7545220525858</v>
      </c>
      <c r="I178" s="7">
        <f t="shared" si="91"/>
        <v>358.85996088872469</v>
      </c>
      <c r="J178" s="7">
        <f t="shared" si="91"/>
        <v>381.06397433051296</v>
      </c>
      <c r="K178" s="7">
        <f t="shared" si="91"/>
        <v>402.72528205406792</v>
      </c>
      <c r="L178" s="7">
        <f t="shared" si="91"/>
        <v>423.57183295821415</v>
      </c>
      <c r="M178" s="7">
        <f t="shared" si="91"/>
        <v>445.32407662272271</v>
      </c>
      <c r="N178" s="7">
        <f t="shared" si="91"/>
        <v>468.19339197997249</v>
      </c>
      <c r="O178" s="3"/>
      <c r="P178" s="3"/>
      <c r="Q178" s="3"/>
      <c r="R178" s="3"/>
      <c r="S178" s="3"/>
      <c r="T178" s="3"/>
      <c r="U178" s="3"/>
      <c r="V178" s="3"/>
    </row>
    <row r="179" spans="1:22" ht="14.25">
      <c r="A179" s="1">
        <f t="shared" si="89"/>
        <v>179</v>
      </c>
      <c r="B179" s="44" t="s">
        <v>65</v>
      </c>
      <c r="C179" s="4"/>
      <c r="D179" s="1"/>
      <c r="E179" s="7">
        <f t="shared" ref="E179:N179" si="92">E177-E178</f>
        <v>111.1018600000001</v>
      </c>
      <c r="F179" s="7">
        <f t="shared" si="92"/>
        <v>120.87847465839241</v>
      </c>
      <c r="G179" s="7">
        <f t="shared" si="92"/>
        <v>131.87303354642546</v>
      </c>
      <c r="H179" s="7">
        <f t="shared" si="92"/>
        <v>144.56972748800035</v>
      </c>
      <c r="I179" s="7">
        <f t="shared" si="92"/>
        <v>156.64395142876447</v>
      </c>
      <c r="J179" s="7">
        <f t="shared" si="92"/>
        <v>168.57012614545471</v>
      </c>
      <c r="K179" s="7">
        <f t="shared" si="92"/>
        <v>180.48125566796119</v>
      </c>
      <c r="L179" s="7">
        <f t="shared" si="92"/>
        <v>192.26827940208523</v>
      </c>
      <c r="M179" s="7">
        <f t="shared" si="92"/>
        <v>204.975636191386</v>
      </c>
      <c r="N179" s="7">
        <f t="shared" si="92"/>
        <v>218.49412316957523</v>
      </c>
      <c r="O179" s="3"/>
      <c r="P179" s="3"/>
      <c r="Q179" s="3"/>
      <c r="R179" s="3"/>
      <c r="S179" s="3"/>
      <c r="T179" s="3"/>
      <c r="U179" s="3"/>
      <c r="V179" s="3"/>
    </row>
    <row r="180" spans="1:22" ht="14.25">
      <c r="A180" s="1">
        <f t="shared" si="89"/>
        <v>180</v>
      </c>
      <c r="B180" s="44" t="str">
        <f>+B86</f>
        <v>Overhead expenses. Gastos generales</v>
      </c>
      <c r="C180" s="4"/>
      <c r="D180" s="1"/>
      <c r="E180" s="7">
        <f>+E86</f>
        <v>23.436599999999999</v>
      </c>
      <c r="F180" s="7">
        <f t="shared" ref="F180:N180" si="93">+F86</f>
        <v>24.972869129999999</v>
      </c>
      <c r="G180" s="7">
        <f t="shared" si="93"/>
        <v>26.4517624398786</v>
      </c>
      <c r="H180" s="7">
        <f t="shared" si="93"/>
        <v>27.99654536636751</v>
      </c>
      <c r="I180" s="7">
        <f t="shared" si="93"/>
        <v>29.607466586748295</v>
      </c>
      <c r="J180" s="7">
        <f t="shared" si="93"/>
        <v>31.053495254845082</v>
      </c>
      <c r="K180" s="7">
        <f t="shared" si="93"/>
        <v>32.413560713269156</v>
      </c>
      <c r="L180" s="7">
        <f t="shared" si="93"/>
        <v>33.669748258711898</v>
      </c>
      <c r="M180" s="7">
        <f t="shared" si="93"/>
        <v>34.974619352478271</v>
      </c>
      <c r="N180" s="7">
        <f t="shared" si="93"/>
        <v>36.330060725483563</v>
      </c>
      <c r="O180" s="128">
        <v>23.436599999999999</v>
      </c>
      <c r="P180" s="128">
        <v>24.972869129999999</v>
      </c>
      <c r="Q180" s="128">
        <v>26.4517624398786</v>
      </c>
      <c r="R180" s="128">
        <v>27.99654536636751</v>
      </c>
      <c r="S180" s="128">
        <v>29.607466586748295</v>
      </c>
      <c r="T180" s="3"/>
      <c r="U180" s="3"/>
      <c r="V180" s="3"/>
    </row>
    <row r="181" spans="1:22" ht="15">
      <c r="A181" s="1">
        <f t="shared" si="89"/>
        <v>181</v>
      </c>
      <c r="B181" s="6" t="s">
        <v>38</v>
      </c>
      <c r="C181" s="4"/>
      <c r="D181" s="1"/>
      <c r="E181" s="7">
        <f t="shared" ref="E181:N181" si="94">+E91</f>
        <v>52.5229152</v>
      </c>
      <c r="F181" s="7">
        <f t="shared" si="94"/>
        <v>56.494218109287161</v>
      </c>
      <c r="G181" s="7">
        <f t="shared" si="94"/>
        <v>60.717433518051948</v>
      </c>
      <c r="H181" s="7">
        <f t="shared" si="94"/>
        <v>64.983109089425682</v>
      </c>
      <c r="I181" s="7">
        <f t="shared" si="94"/>
        <v>69.192812247936644</v>
      </c>
      <c r="J181" s="7">
        <f t="shared" si="94"/>
        <v>73.564572513636591</v>
      </c>
      <c r="K181" s="7">
        <f t="shared" si="94"/>
        <v>77.837215572110154</v>
      </c>
      <c r="L181" s="7">
        <f t="shared" si="94"/>
        <v>81.960872705479659</v>
      </c>
      <c r="M181" s="7">
        <f t="shared" si="94"/>
        <v>86.303753910815715</v>
      </c>
      <c r="N181" s="7">
        <f t="shared" si="94"/>
        <v>90.877553644340821</v>
      </c>
      <c r="O181" s="128">
        <v>52.5229152</v>
      </c>
      <c r="P181" s="128">
        <v>56.494218109287161</v>
      </c>
      <c r="Q181" s="128">
        <v>60.717433518051948</v>
      </c>
      <c r="R181" s="128">
        <v>64.983109089425682</v>
      </c>
      <c r="S181" s="128">
        <v>69.192812247936644</v>
      </c>
      <c r="T181" s="3"/>
      <c r="U181" s="3"/>
      <c r="V181" s="3"/>
    </row>
    <row r="182" spans="1:22" ht="15">
      <c r="A182" s="1">
        <f t="shared" si="89"/>
        <v>182</v>
      </c>
      <c r="B182" s="50" t="s">
        <v>68</v>
      </c>
      <c r="C182" s="4"/>
      <c r="D182" s="1"/>
      <c r="E182" s="7">
        <f t="shared" ref="E182:N182" si="95">E65</f>
        <v>11.25</v>
      </c>
      <c r="F182" s="7">
        <f t="shared" si="95"/>
        <v>11.25</v>
      </c>
      <c r="G182" s="7">
        <f t="shared" si="95"/>
        <v>11.25</v>
      </c>
      <c r="H182" s="7">
        <f t="shared" si="95"/>
        <v>11.25</v>
      </c>
      <c r="I182" s="7">
        <f t="shared" si="95"/>
        <v>14.07631739747003</v>
      </c>
      <c r="J182" s="7">
        <f t="shared" si="95"/>
        <v>14.07631739747003</v>
      </c>
      <c r="K182" s="7">
        <f t="shared" si="95"/>
        <v>14.07631739747003</v>
      </c>
      <c r="L182" s="7">
        <f t="shared" si="95"/>
        <v>14.07631739747003</v>
      </c>
      <c r="M182" s="7">
        <f t="shared" si="95"/>
        <v>14.07631739747003</v>
      </c>
      <c r="N182" s="7">
        <f t="shared" si="95"/>
        <v>14.07631739747003</v>
      </c>
      <c r="O182" s="128">
        <v>11.25</v>
      </c>
      <c r="P182" s="128">
        <v>11.25</v>
      </c>
      <c r="Q182" s="128">
        <v>11.25</v>
      </c>
      <c r="R182" s="128">
        <v>11.25</v>
      </c>
      <c r="S182" s="128">
        <v>14.07631739747003</v>
      </c>
      <c r="T182" s="3"/>
      <c r="U182" s="3"/>
      <c r="V182" s="3"/>
    </row>
    <row r="183" spans="1:22" ht="12.75" customHeight="1">
      <c r="A183" s="1">
        <f t="shared" si="89"/>
        <v>183</v>
      </c>
      <c r="B183" s="44" t="s">
        <v>66</v>
      </c>
      <c r="C183" s="4"/>
      <c r="D183" s="1"/>
      <c r="E183" s="7">
        <f>E179-E181-E182-E180</f>
        <v>23.892344800000103</v>
      </c>
      <c r="F183" s="7">
        <f t="shared" ref="F183:N183" si="96">F179-F181-F182-F180</f>
        <v>28.161387419105246</v>
      </c>
      <c r="G183" s="7">
        <f t="shared" si="96"/>
        <v>33.453837588494913</v>
      </c>
      <c r="H183" s="7">
        <f t="shared" si="96"/>
        <v>40.340073032207158</v>
      </c>
      <c r="I183" s="7">
        <f t="shared" si="96"/>
        <v>43.767355196609493</v>
      </c>
      <c r="J183" s="7">
        <f t="shared" si="96"/>
        <v>49.875740979503</v>
      </c>
      <c r="K183" s="7">
        <f t="shared" si="96"/>
        <v>56.154161985111848</v>
      </c>
      <c r="L183" s="7">
        <f t="shared" si="96"/>
        <v>62.561341040423635</v>
      </c>
      <c r="M183" s="7">
        <f t="shared" si="96"/>
        <v>69.620945530621981</v>
      </c>
      <c r="N183" s="7">
        <f t="shared" si="96"/>
        <v>77.210191402280813</v>
      </c>
      <c r="O183" s="42">
        <v>23.892344800000103</v>
      </c>
      <c r="P183" s="42">
        <v>28.161387419105246</v>
      </c>
      <c r="Q183" s="128">
        <v>33.453837588494913</v>
      </c>
      <c r="R183" s="128">
        <v>40.340073032207158</v>
      </c>
      <c r="S183" s="128">
        <v>43.767355196609493</v>
      </c>
      <c r="T183" s="9"/>
      <c r="U183" s="3"/>
      <c r="V183" s="3"/>
    </row>
    <row r="184" spans="1:22" ht="30">
      <c r="A184" s="1">
        <f t="shared" si="89"/>
        <v>184</v>
      </c>
      <c r="B184" s="50" t="s">
        <v>213</v>
      </c>
      <c r="C184" s="4"/>
      <c r="D184" s="1"/>
      <c r="E184" s="7">
        <f t="shared" ref="E184:N184" si="97">+E155+E170+E163</f>
        <v>8.2656000000000098</v>
      </c>
      <c r="F184" s="7">
        <f t="shared" si="97"/>
        <v>4.4836336632229932</v>
      </c>
      <c r="G184" s="7">
        <f t="shared" si="97"/>
        <v>3.6412084799999991</v>
      </c>
      <c r="H184" s="7">
        <f t="shared" si="97"/>
        <v>1.9742400000000002</v>
      </c>
      <c r="I184" s="7">
        <f t="shared" si="97"/>
        <v>6.3442944411039877</v>
      </c>
      <c r="J184" s="7">
        <f t="shared" si="97"/>
        <v>5.0963568976262854</v>
      </c>
      <c r="K184" s="7">
        <f t="shared" si="97"/>
        <v>4.3039111574083107</v>
      </c>
      <c r="L184" s="7">
        <f t="shared" si="97"/>
        <v>3.5639931268663365</v>
      </c>
      <c r="M184" s="7">
        <f t="shared" si="97"/>
        <v>3.0235322390282886</v>
      </c>
      <c r="N184" s="7">
        <f t="shared" si="97"/>
        <v>2.4830713511902403</v>
      </c>
      <c r="O184" s="7"/>
      <c r="P184" s="30"/>
      <c r="Q184" s="30"/>
      <c r="R184" s="30"/>
      <c r="S184" s="30"/>
      <c r="T184" s="30"/>
      <c r="U184" s="3"/>
      <c r="V184" s="3"/>
    </row>
    <row r="185" spans="1:22" ht="30">
      <c r="A185" s="1">
        <f t="shared" si="89"/>
        <v>185</v>
      </c>
      <c r="B185" s="50" t="s">
        <v>214</v>
      </c>
      <c r="C185" s="4"/>
      <c r="D185" s="1"/>
      <c r="E185" s="7">
        <f t="shared" ref="E185:N185" si="98">+E58*D146</f>
        <v>0</v>
      </c>
      <c r="F185" s="7">
        <f t="shared" si="98"/>
        <v>0</v>
      </c>
      <c r="G185" s="7">
        <f t="shared" si="98"/>
        <v>0.75781406345605251</v>
      </c>
      <c r="H185" s="7">
        <f t="shared" si="98"/>
        <v>1.6347358881604588</v>
      </c>
      <c r="I185" s="7">
        <f t="shared" si="98"/>
        <v>5.5604409965326212E-16</v>
      </c>
      <c r="J185" s="7">
        <f t="shared" si="98"/>
        <v>1.9742152499610786</v>
      </c>
      <c r="K185" s="7">
        <f t="shared" si="98"/>
        <v>2.2174976560303117</v>
      </c>
      <c r="L185" s="7">
        <f t="shared" si="98"/>
        <v>4.1075284644578867</v>
      </c>
      <c r="M185" s="7">
        <f t="shared" si="98"/>
        <v>6.5027080870989939</v>
      </c>
      <c r="N185" s="7">
        <f t="shared" si="98"/>
        <v>5.7752952872131385</v>
      </c>
      <c r="O185" s="7"/>
      <c r="P185" s="49"/>
      <c r="Q185" s="49"/>
      <c r="R185" s="49"/>
      <c r="S185" s="49"/>
      <c r="T185" s="49"/>
      <c r="U185" s="3"/>
      <c r="V185" s="3"/>
    </row>
    <row r="186" spans="1:22" ht="30">
      <c r="A186" s="1">
        <f t="shared" si="89"/>
        <v>186</v>
      </c>
      <c r="B186" s="50" t="s">
        <v>215</v>
      </c>
      <c r="C186" s="4"/>
      <c r="D186" s="37"/>
      <c r="E186" s="7">
        <f t="shared" ref="E186:N186" si="99">E183+E185-E184</f>
        <v>15.626744800000093</v>
      </c>
      <c r="F186" s="7">
        <f t="shared" si="99"/>
        <v>23.677753755882254</v>
      </c>
      <c r="G186" s="7">
        <f t="shared" si="99"/>
        <v>30.570443171950966</v>
      </c>
      <c r="H186" s="7">
        <f t="shared" si="99"/>
        <v>40.000568920367613</v>
      </c>
      <c r="I186" s="7">
        <f t="shared" si="99"/>
        <v>37.423060755505503</v>
      </c>
      <c r="J186" s="7">
        <f t="shared" si="99"/>
        <v>46.75359933183779</v>
      </c>
      <c r="K186" s="7">
        <f t="shared" si="99"/>
        <v>54.067748483733851</v>
      </c>
      <c r="L186" s="7">
        <f t="shared" si="99"/>
        <v>63.104876378015192</v>
      </c>
      <c r="M186" s="7">
        <f t="shared" si="99"/>
        <v>73.100121378692691</v>
      </c>
      <c r="N186" s="7">
        <f t="shared" si="99"/>
        <v>80.502415338303706</v>
      </c>
      <c r="O186" s="7"/>
      <c r="P186" s="30"/>
      <c r="Q186" s="30"/>
      <c r="R186" s="30"/>
      <c r="S186" s="30"/>
      <c r="T186" s="30"/>
      <c r="U186" s="3"/>
      <c r="V186" s="3"/>
    </row>
    <row r="187" spans="1:22" ht="15">
      <c r="A187" s="1">
        <f t="shared" si="89"/>
        <v>187</v>
      </c>
      <c r="B187" s="50" t="s">
        <v>217</v>
      </c>
      <c r="C187" s="4"/>
      <c r="E187" s="71">
        <f t="shared" ref="E187:N187" si="100">IF(E186&lt;=0,0,E186*$D$8)</f>
        <v>5.4693606800000323</v>
      </c>
      <c r="F187" s="71">
        <f t="shared" si="100"/>
        <v>8.2872138145587879</v>
      </c>
      <c r="G187" s="71">
        <f t="shared" si="100"/>
        <v>10.699655110182837</v>
      </c>
      <c r="H187" s="71">
        <f t="shared" si="100"/>
        <v>14.000199122128663</v>
      </c>
      <c r="I187" s="71">
        <f t="shared" si="100"/>
        <v>13.098071264426926</v>
      </c>
      <c r="J187" s="71">
        <f t="shared" si="100"/>
        <v>16.363759766143225</v>
      </c>
      <c r="K187" s="71">
        <f t="shared" si="100"/>
        <v>18.923711969306847</v>
      </c>
      <c r="L187" s="71">
        <f t="shared" si="100"/>
        <v>22.086706732305316</v>
      </c>
      <c r="M187" s="71">
        <f t="shared" si="100"/>
        <v>25.585042482542441</v>
      </c>
      <c r="N187" s="71">
        <f t="shared" si="100"/>
        <v>28.175845368406296</v>
      </c>
      <c r="O187" s="7"/>
      <c r="P187" s="51"/>
      <c r="Q187" s="30"/>
      <c r="R187" s="30"/>
      <c r="S187" s="30"/>
      <c r="T187" s="30"/>
      <c r="U187" s="3"/>
      <c r="V187" s="3"/>
    </row>
    <row r="188" spans="1:22" ht="14.25">
      <c r="A188" s="1">
        <f t="shared" si="89"/>
        <v>188</v>
      </c>
      <c r="B188" s="64" t="s">
        <v>218</v>
      </c>
      <c r="C188" s="4"/>
      <c r="D188" s="7"/>
      <c r="E188" s="7">
        <f t="shared" ref="E188:N188" si="101">E186-E187</f>
        <v>10.15738412000006</v>
      </c>
      <c r="F188" s="7">
        <f t="shared" si="101"/>
        <v>15.390539941323466</v>
      </c>
      <c r="G188" s="7">
        <f t="shared" si="101"/>
        <v>19.870788061768131</v>
      </c>
      <c r="H188" s="7">
        <f t="shared" si="101"/>
        <v>26.00036979823895</v>
      </c>
      <c r="I188" s="7">
        <f t="shared" si="101"/>
        <v>24.324989491078576</v>
      </c>
      <c r="J188" s="7">
        <f t="shared" si="101"/>
        <v>30.389839565694565</v>
      </c>
      <c r="K188" s="7">
        <f t="shared" si="101"/>
        <v>35.144036514427</v>
      </c>
      <c r="L188" s="7">
        <f t="shared" si="101"/>
        <v>41.018169645709875</v>
      </c>
      <c r="M188" s="7">
        <f t="shared" si="101"/>
        <v>47.51507889615025</v>
      </c>
      <c r="N188" s="7">
        <f t="shared" si="101"/>
        <v>52.326569969897406</v>
      </c>
      <c r="O188" s="7"/>
      <c r="P188" s="9"/>
      <c r="Q188" s="9"/>
      <c r="R188" s="9"/>
      <c r="S188" s="9"/>
      <c r="T188" s="9"/>
      <c r="U188" s="3"/>
      <c r="V188" s="3"/>
    </row>
    <row r="189" spans="1:22" ht="15">
      <c r="A189" s="1">
        <f t="shared" si="89"/>
        <v>189</v>
      </c>
      <c r="B189" s="50" t="s">
        <v>219</v>
      </c>
      <c r="C189" s="52"/>
      <c r="D189" s="1"/>
      <c r="E189" s="7">
        <f t="shared" ref="E189:N189" si="102">E188*E32</f>
        <v>7.1101688840000419</v>
      </c>
      <c r="F189" s="7">
        <f t="shared" si="102"/>
        <v>11.235094157166129</v>
      </c>
      <c r="G189" s="7">
        <f t="shared" si="102"/>
        <v>15.300506807561462</v>
      </c>
      <c r="H189" s="7">
        <f t="shared" si="102"/>
        <v>15.600221878943369</v>
      </c>
      <c r="I189" s="7">
        <f t="shared" si="102"/>
        <v>15.811243169201076</v>
      </c>
      <c r="J189" s="7">
        <f t="shared" si="102"/>
        <v>0</v>
      </c>
      <c r="K189" s="7">
        <f t="shared" si="102"/>
        <v>0</v>
      </c>
      <c r="L189" s="7">
        <f t="shared" si="102"/>
        <v>0</v>
      </c>
      <c r="M189" s="7">
        <f t="shared" si="102"/>
        <v>0</v>
      </c>
      <c r="N189" s="7">
        <f t="shared" si="102"/>
        <v>0</v>
      </c>
      <c r="O189" s="7"/>
      <c r="P189" s="9"/>
      <c r="Q189" s="9"/>
      <c r="R189" s="9"/>
      <c r="S189" s="9"/>
      <c r="T189" s="9"/>
      <c r="U189" s="3"/>
      <c r="V189" s="3"/>
    </row>
    <row r="190" spans="1:22" ht="30">
      <c r="A190" s="1">
        <f t="shared" si="89"/>
        <v>190</v>
      </c>
      <c r="B190" s="50" t="s">
        <v>220</v>
      </c>
      <c r="C190" s="4"/>
      <c r="D190" s="1"/>
      <c r="E190" s="7">
        <f>D190+E188-D189</f>
        <v>10.15738412000006</v>
      </c>
      <c r="F190" s="7">
        <f t="shared" ref="F190:N190" si="103">E190+F188-E189</f>
        <v>18.437755177323485</v>
      </c>
      <c r="G190" s="7">
        <f t="shared" si="103"/>
        <v>27.073449081925489</v>
      </c>
      <c r="H190" s="7">
        <f t="shared" si="103"/>
        <v>37.773312072602977</v>
      </c>
      <c r="I190" s="7">
        <f t="shared" si="103"/>
        <v>46.498079684738187</v>
      </c>
      <c r="J190" s="7">
        <f>I190+J188-I189</f>
        <v>61.076676081231682</v>
      </c>
      <c r="K190" s="7">
        <f t="shared" si="103"/>
        <v>96.220712595658682</v>
      </c>
      <c r="L190" s="7">
        <f t="shared" si="103"/>
        <v>137.23888224136857</v>
      </c>
      <c r="M190" s="7">
        <f t="shared" si="103"/>
        <v>184.75396113751881</v>
      </c>
      <c r="N190" s="7">
        <f t="shared" si="103"/>
        <v>237.08053110741622</v>
      </c>
      <c r="O190" s="3"/>
      <c r="P190" s="9"/>
      <c r="Q190" s="9"/>
      <c r="R190" s="9"/>
      <c r="S190" s="9"/>
      <c r="T190" s="9"/>
      <c r="U190" s="3"/>
      <c r="V190" s="3"/>
    </row>
    <row r="191" spans="1:22" ht="12.75">
      <c r="A191" s="1">
        <f t="shared" si="89"/>
        <v>191</v>
      </c>
      <c r="B191" s="104" t="s">
        <v>221</v>
      </c>
      <c r="C191" s="28"/>
      <c r="E191" s="7">
        <f t="shared" ref="E191:N191" si="104">+E182*E39</f>
        <v>0</v>
      </c>
      <c r="F191" s="7">
        <f t="shared" si="104"/>
        <v>0</v>
      </c>
      <c r="G191" s="7">
        <f t="shared" si="104"/>
        <v>0</v>
      </c>
      <c r="H191" s="7">
        <f t="shared" si="104"/>
        <v>0</v>
      </c>
      <c r="I191" s="7">
        <f t="shared" si="104"/>
        <v>0</v>
      </c>
      <c r="J191" s="7">
        <f t="shared" si="104"/>
        <v>0</v>
      </c>
      <c r="K191" s="7">
        <f t="shared" si="104"/>
        <v>0</v>
      </c>
      <c r="L191" s="7">
        <f t="shared" si="104"/>
        <v>0</v>
      </c>
      <c r="M191" s="7">
        <f t="shared" si="104"/>
        <v>0</v>
      </c>
      <c r="N191" s="7">
        <f t="shared" si="104"/>
        <v>0</v>
      </c>
      <c r="O191" s="19"/>
      <c r="P191" s="19"/>
      <c r="Q191" s="19"/>
      <c r="R191" s="53"/>
      <c r="S191" s="53"/>
      <c r="T191" s="53"/>
      <c r="U191" s="3"/>
      <c r="V191" s="3"/>
    </row>
    <row r="192" spans="1:22" ht="12.75">
      <c r="A192" s="1">
        <f t="shared" si="43"/>
        <v>192</v>
      </c>
      <c r="J192" s="25"/>
      <c r="K192" s="2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">
      <c r="A193" s="1">
        <f t="shared" si="43"/>
        <v>193</v>
      </c>
      <c r="B193" s="108" t="s">
        <v>262</v>
      </c>
      <c r="J193" s="25"/>
      <c r="K193" s="2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">
      <c r="A194" s="1">
        <f t="shared" si="43"/>
        <v>194</v>
      </c>
      <c r="B194" s="56" t="s">
        <v>263</v>
      </c>
      <c r="C194" s="69" t="s">
        <v>70</v>
      </c>
      <c r="D194" s="70">
        <v>0</v>
      </c>
      <c r="E194" s="70">
        <v>1</v>
      </c>
      <c r="F194" s="70">
        <v>2</v>
      </c>
      <c r="G194" s="70">
        <v>3</v>
      </c>
      <c r="H194" s="70">
        <v>4</v>
      </c>
      <c r="I194" s="70">
        <v>5</v>
      </c>
      <c r="J194" s="75"/>
      <c r="K194" s="7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">
      <c r="A195" s="1">
        <f t="shared" ref="A195:A212" si="105">ROW(B195)</f>
        <v>195</v>
      </c>
      <c r="B195" s="33" t="s">
        <v>264</v>
      </c>
      <c r="C195" s="4" t="s">
        <v>71</v>
      </c>
      <c r="D195" s="7">
        <f t="shared" ref="D195:I195" si="106">D149</f>
        <v>13</v>
      </c>
      <c r="E195" s="7">
        <f t="shared" si="106"/>
        <v>10</v>
      </c>
      <c r="F195" s="7">
        <f t="shared" si="106"/>
        <v>11</v>
      </c>
      <c r="G195" s="7">
        <f t="shared" si="106"/>
        <v>12.000000000000007</v>
      </c>
      <c r="H195" s="7">
        <f t="shared" si="106"/>
        <v>13</v>
      </c>
      <c r="I195" s="7">
        <f t="shared" si="106"/>
        <v>14</v>
      </c>
      <c r="J195" s="7">
        <f>J149</f>
        <v>14.765261009503927</v>
      </c>
      <c r="K195" s="7">
        <f>K149</f>
        <v>15.667144277361611</v>
      </c>
      <c r="L195" s="7">
        <f>L149</f>
        <v>16.543806127108443</v>
      </c>
      <c r="M195" s="7">
        <f>M149</f>
        <v>17.46952197069076</v>
      </c>
      <c r="N195" s="7">
        <f>N149</f>
        <v>18.447036645598526</v>
      </c>
      <c r="O195" s="3"/>
      <c r="P195" s="3"/>
      <c r="Q195" s="3"/>
      <c r="R195" s="3"/>
      <c r="S195" s="3"/>
      <c r="T195" s="3"/>
      <c r="U195" s="3"/>
      <c r="V195" s="3"/>
    </row>
    <row r="196" spans="1:22" ht="30">
      <c r="A196" s="1">
        <f t="shared" si="105"/>
        <v>196</v>
      </c>
      <c r="B196" s="56" t="s">
        <v>265</v>
      </c>
      <c r="C196" s="4" t="s">
        <v>72</v>
      </c>
      <c r="D196" s="7">
        <f t="shared" ref="D196:I196" si="107">D96</f>
        <v>0</v>
      </c>
      <c r="E196" s="7">
        <f t="shared" si="107"/>
        <v>19.072368000000004</v>
      </c>
      <c r="F196" s="7">
        <f t="shared" si="107"/>
        <v>24.606509442246143</v>
      </c>
      <c r="G196" s="7">
        <f t="shared" si="107"/>
        <v>17.776798040333684</v>
      </c>
      <c r="H196" s="7">
        <f t="shared" si="107"/>
        <v>33.552697467841035</v>
      </c>
      <c r="I196" s="7">
        <f t="shared" si="107"/>
        <v>15.465117369524673</v>
      </c>
      <c r="J196" s="7">
        <f>J96</f>
        <v>0</v>
      </c>
      <c r="K196" s="7">
        <f>K96</f>
        <v>0</v>
      </c>
      <c r="L196" s="7">
        <f>L96</f>
        <v>0</v>
      </c>
      <c r="M196" s="7">
        <f>M96</f>
        <v>0</v>
      </c>
      <c r="N196" s="7">
        <f>N96</f>
        <v>0</v>
      </c>
      <c r="O196" s="3"/>
      <c r="P196" s="3"/>
      <c r="Q196" s="3"/>
      <c r="R196" s="3"/>
      <c r="S196" s="3"/>
      <c r="T196" s="3"/>
      <c r="U196" s="3"/>
      <c r="V196" s="3"/>
    </row>
    <row r="197" spans="1:22" ht="15">
      <c r="A197" s="1">
        <f t="shared" si="105"/>
        <v>197</v>
      </c>
      <c r="B197" s="56" t="s">
        <v>266</v>
      </c>
      <c r="C197" s="4" t="s">
        <v>72</v>
      </c>
      <c r="D197" s="7">
        <f t="shared" ref="D197:I197" si="108">+D84</f>
        <v>20</v>
      </c>
      <c r="E197" s="7">
        <f t="shared" si="108"/>
        <v>22.637624999999989</v>
      </c>
      <c r="F197" s="7">
        <f t="shared" si="108"/>
        <v>23.249470526956795</v>
      </c>
      <c r="G197" s="7">
        <f t="shared" si="108"/>
        <v>28.259760211266673</v>
      </c>
      <c r="H197" s="7">
        <f t="shared" si="108"/>
        <v>28.58684927336196</v>
      </c>
      <c r="I197" s="7">
        <f t="shared" si="108"/>
        <v>30.262332419423046</v>
      </c>
      <c r="J197" s="7">
        <f>+J84</f>
        <v>32.303805417517424</v>
      </c>
      <c r="K197" s="7">
        <f>+K84</f>
        <v>34.127613090387072</v>
      </c>
      <c r="L197" s="7">
        <f>+L84</f>
        <v>35.880213470930798</v>
      </c>
      <c r="M197" s="7">
        <f>+M84</f>
        <v>37.722817453125394</v>
      </c>
      <c r="N197" s="7">
        <f>+N84</f>
        <v>39.660047110776176</v>
      </c>
      <c r="O197" s="3"/>
      <c r="P197" s="3"/>
      <c r="Q197" s="3"/>
      <c r="R197" s="3"/>
      <c r="S197" s="3"/>
      <c r="T197" s="3"/>
      <c r="U197" s="3"/>
      <c r="V197" s="3"/>
    </row>
    <row r="198" spans="1:22" ht="15">
      <c r="A198" s="1">
        <f t="shared" si="105"/>
        <v>198</v>
      </c>
      <c r="B198" s="56" t="s">
        <v>258</v>
      </c>
      <c r="C198" s="4" t="s">
        <v>71</v>
      </c>
      <c r="D198" s="7">
        <f>SUM($D$146:D146)-SUM($D$144:D144)</f>
        <v>0</v>
      </c>
      <c r="E198" s="7">
        <f>SUM($D$146:E146)-SUM($D$144:E144)</f>
        <v>0</v>
      </c>
      <c r="F198" s="7">
        <f>SUM($D$146:F146)-SUM($D$144:F144)</f>
        <v>8.2067799811138507</v>
      </c>
      <c r="G198" s="7">
        <f>SUM($D$146:G146)-SUM($D$144:G144)</f>
        <v>28.442555687872275</v>
      </c>
      <c r="H198" s="7">
        <f>SUM($D$146:H146)-SUM($D$144:H144)</f>
        <v>0</v>
      </c>
      <c r="I198" s="7">
        <f>SUM($D$146:I146)-SUM($D$144:I144)</f>
        <v>32.470645558570389</v>
      </c>
      <c r="J198" s="7">
        <f>SUM($D$146:J146)-SUM($D$144:J144)</f>
        <v>39.811448043632268</v>
      </c>
      <c r="K198" s="7">
        <f>SUM($D$146:K146)-SUM($D$144:K144)</f>
        <v>81.176451866756679</v>
      </c>
      <c r="L198" s="7">
        <f>SUM($D$146:L146)-SUM($D$144:L144)</f>
        <v>128.51201753160069</v>
      </c>
      <c r="M198" s="7">
        <f>SUM($D$146:M146)-SUM($D$144:M144)</f>
        <v>114.13627049828341</v>
      </c>
      <c r="N198" s="7">
        <f>SUM($D$146:N146)-SUM($D$144:N144)</f>
        <v>172.49475438504709</v>
      </c>
      <c r="O198" s="3"/>
      <c r="P198" s="3"/>
      <c r="Q198" s="3"/>
      <c r="R198" s="3"/>
      <c r="S198" s="3"/>
      <c r="T198" s="3"/>
      <c r="U198" s="3"/>
      <c r="V198" s="3"/>
    </row>
    <row r="199" spans="1:22" ht="15">
      <c r="A199" s="1">
        <f t="shared" si="105"/>
        <v>199</v>
      </c>
      <c r="B199" s="56" t="s">
        <v>267</v>
      </c>
      <c r="C199" s="4"/>
      <c r="D199" s="7">
        <f t="shared" ref="D199:I199" si="109">SUM(D195:D198)</f>
        <v>33</v>
      </c>
      <c r="E199" s="7">
        <f t="shared" si="109"/>
        <v>51.709992999999997</v>
      </c>
      <c r="F199" s="7">
        <f>SUM(F195:F198)</f>
        <v>67.062759950316789</v>
      </c>
      <c r="G199" s="7">
        <f t="shared" si="109"/>
        <v>86.47911393947264</v>
      </c>
      <c r="H199" s="7">
        <f t="shared" si="109"/>
        <v>75.139546741202992</v>
      </c>
      <c r="I199" s="7">
        <f t="shared" si="109"/>
        <v>92.19809534751812</v>
      </c>
      <c r="J199" s="7">
        <f>SUM(J195:J198)</f>
        <v>86.880514470653623</v>
      </c>
      <c r="K199" s="7">
        <f>SUM(K195:K198)</f>
        <v>130.97120923450535</v>
      </c>
      <c r="L199" s="7">
        <f>SUM(L195:L198)</f>
        <v>180.93603712963994</v>
      </c>
      <c r="M199" s="7">
        <f>SUM(M195:M198)</f>
        <v>169.32860992209956</v>
      </c>
      <c r="N199" s="7">
        <f>SUM(N195:N198)</f>
        <v>230.60183814142181</v>
      </c>
      <c r="O199" s="3"/>
      <c r="P199" s="3"/>
      <c r="Q199" s="3"/>
      <c r="R199" s="3"/>
      <c r="S199" s="3"/>
      <c r="T199" s="3"/>
      <c r="U199" s="3"/>
      <c r="V199" s="3"/>
    </row>
    <row r="200" spans="1:22" ht="15">
      <c r="A200" s="1">
        <f t="shared" si="105"/>
        <v>200</v>
      </c>
      <c r="B200" s="56" t="s">
        <v>268</v>
      </c>
      <c r="C200" s="4" t="s">
        <v>72</v>
      </c>
      <c r="D200" s="7">
        <f t="shared" ref="D200:I200" si="110">+D68</f>
        <v>45</v>
      </c>
      <c r="E200" s="7">
        <f t="shared" si="110"/>
        <v>33.75</v>
      </c>
      <c r="F200" s="7">
        <f t="shared" si="110"/>
        <v>22.5</v>
      </c>
      <c r="G200" s="7">
        <f t="shared" si="110"/>
        <v>11.25</v>
      </c>
      <c r="H200" s="7">
        <f t="shared" si="110"/>
        <v>56.305269589880119</v>
      </c>
      <c r="I200" s="7">
        <f t="shared" si="110"/>
        <v>42.228952192410091</v>
      </c>
      <c r="J200" s="7">
        <f>+J68</f>
        <v>28.152634794940063</v>
      </c>
      <c r="K200" s="7">
        <f>+K68</f>
        <v>14.076317397470033</v>
      </c>
      <c r="L200" s="7">
        <f>+L68</f>
        <v>3.5527136788005009E-15</v>
      </c>
      <c r="M200" s="7">
        <f>+M68</f>
        <v>53.992846955645383</v>
      </c>
      <c r="N200" s="7">
        <f>+N68</f>
        <v>39.916529558175355</v>
      </c>
      <c r="O200" s="3"/>
      <c r="P200" s="3"/>
      <c r="Q200" s="3"/>
      <c r="R200" s="3"/>
      <c r="S200" s="3"/>
      <c r="T200" s="3"/>
      <c r="U200" s="3"/>
      <c r="V200" s="3"/>
    </row>
    <row r="201" spans="1:22" ht="15">
      <c r="A201" s="1">
        <f t="shared" si="105"/>
        <v>201</v>
      </c>
      <c r="B201" s="54" t="s">
        <v>0</v>
      </c>
      <c r="C201" s="4"/>
      <c r="D201" s="17">
        <f t="shared" ref="D201:I201" si="111">D200+D197+D196+D195+D198</f>
        <v>78</v>
      </c>
      <c r="E201" s="17">
        <f t="shared" si="111"/>
        <v>85.459992999999997</v>
      </c>
      <c r="F201" s="17">
        <f t="shared" si="111"/>
        <v>89.562759950316789</v>
      </c>
      <c r="G201" s="17">
        <f t="shared" si="111"/>
        <v>97.729113939472626</v>
      </c>
      <c r="H201" s="17">
        <f t="shared" si="111"/>
        <v>131.4448163310831</v>
      </c>
      <c r="I201" s="17">
        <f t="shared" si="111"/>
        <v>134.4270475399282</v>
      </c>
      <c r="J201" s="17">
        <f>J200+J197+J196+J195+J198</f>
        <v>115.03314926559368</v>
      </c>
      <c r="K201" s="17">
        <f>K200+K197+K196+K195+K198</f>
        <v>145.04752663197542</v>
      </c>
      <c r="L201" s="17">
        <f>L200+L197+L196+L195+L198</f>
        <v>180.93603712963994</v>
      </c>
      <c r="M201" s="17">
        <f>M200+M197+M196+M195+M198</f>
        <v>223.32145687774494</v>
      </c>
      <c r="N201" s="17">
        <f>N200+N197+N196+N195+N198</f>
        <v>270.51836769959715</v>
      </c>
      <c r="O201" s="3"/>
      <c r="P201" s="3"/>
      <c r="Q201" s="3"/>
      <c r="R201" s="3"/>
      <c r="S201" s="3"/>
      <c r="T201" s="3"/>
      <c r="U201" s="3"/>
      <c r="V201" s="3"/>
    </row>
    <row r="202" spans="1:22" ht="15">
      <c r="A202" s="1">
        <f t="shared" si="105"/>
        <v>202</v>
      </c>
      <c r="B202" s="56" t="s">
        <v>269</v>
      </c>
      <c r="C202" s="4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3"/>
      <c r="P202" s="3"/>
      <c r="Q202" s="3"/>
      <c r="R202" s="3"/>
      <c r="S202" s="3"/>
      <c r="T202" s="3"/>
      <c r="U202" s="3"/>
      <c r="V202" s="3"/>
    </row>
    <row r="203" spans="1:22" ht="30">
      <c r="A203" s="1">
        <f t="shared" si="105"/>
        <v>203</v>
      </c>
      <c r="B203" s="56" t="s">
        <v>270</v>
      </c>
      <c r="C203" s="4" t="s">
        <v>72</v>
      </c>
      <c r="D203" s="7">
        <f t="shared" ref="D203:I203" si="112">D99</f>
        <v>0</v>
      </c>
      <c r="E203" s="7">
        <f t="shared" si="112"/>
        <v>27.29831249999998</v>
      </c>
      <c r="F203" s="7">
        <f t="shared" si="112"/>
        <v>31.882604772993318</v>
      </c>
      <c r="G203" s="7">
        <f t="shared" si="112"/>
        <v>38.10686485754718</v>
      </c>
      <c r="H203" s="7">
        <f t="shared" si="112"/>
        <v>23.455712778027703</v>
      </c>
      <c r="I203" s="7">
        <f t="shared" si="112"/>
        <v>28.842835522782821</v>
      </c>
      <c r="J203" s="7">
        <f>J99</f>
        <v>0</v>
      </c>
      <c r="K203" s="7">
        <f>K99</f>
        <v>0</v>
      </c>
      <c r="L203" s="7">
        <f>L99</f>
        <v>0</v>
      </c>
      <c r="M203" s="7">
        <f>M99</f>
        <v>0</v>
      </c>
      <c r="N203" s="7">
        <f>N99</f>
        <v>0</v>
      </c>
      <c r="O203" s="3"/>
      <c r="P203" s="3"/>
      <c r="Q203" s="3"/>
      <c r="R203" s="3"/>
      <c r="S203" s="3"/>
      <c r="T203" s="3"/>
      <c r="U203" s="3"/>
      <c r="V203" s="3"/>
    </row>
    <row r="204" spans="1:22" ht="15">
      <c r="A204" s="1">
        <f t="shared" si="105"/>
        <v>204</v>
      </c>
      <c r="B204" s="56" t="s">
        <v>271</v>
      </c>
      <c r="C204" s="4" t="s">
        <v>71</v>
      </c>
      <c r="D204" s="7">
        <f>SUM($D$128:D128)-SUM($D$133:D133)</f>
        <v>33</v>
      </c>
      <c r="E204" s="7">
        <f>SUM($D$128:E128)-SUM($D$133:E133)</f>
        <v>2.0682963799999712</v>
      </c>
      <c r="F204" s="7">
        <f>SUM($D$128:F128)-SUM($D$133:F133)</f>
        <v>0</v>
      </c>
      <c r="G204" s="7">
        <f>SUM($D$128:G128)-SUM($D$133:G133)</f>
        <v>0</v>
      </c>
      <c r="H204" s="7">
        <f>SUM($D$128:H128)-SUM($D$133:H133)</f>
        <v>0</v>
      </c>
      <c r="I204" s="7">
        <f>SUM($D$128:I128)-SUM($D$133:I133)</f>
        <v>0</v>
      </c>
      <c r="J204" s="7">
        <f>SUM($D$128:J128)-SUM($D$133:J133)</f>
        <v>0</v>
      </c>
      <c r="K204" s="7">
        <f>SUM($D$128:K128)-SUM($D$133:K133)</f>
        <v>0</v>
      </c>
      <c r="L204" s="7">
        <f>SUM($D$128:L128)-SUM($D$133:L133)</f>
        <v>0</v>
      </c>
      <c r="M204" s="7">
        <f>SUM($D$128:M128)-SUM($D$133:M133)</f>
        <v>0</v>
      </c>
      <c r="N204" s="7">
        <f>SUM($D$128:N128)-SUM($D$133:N133)</f>
        <v>0</v>
      </c>
      <c r="O204" s="3"/>
      <c r="P204" s="3"/>
      <c r="Q204" s="3"/>
      <c r="R204" s="3"/>
      <c r="S204" s="3"/>
      <c r="T204" s="3"/>
      <c r="U204" s="3"/>
      <c r="V204" s="3"/>
    </row>
    <row r="205" spans="1:22" ht="15">
      <c r="A205" s="1">
        <f t="shared" si="105"/>
        <v>205</v>
      </c>
      <c r="B205" s="56" t="s">
        <v>272</v>
      </c>
      <c r="C205" s="4"/>
      <c r="D205" s="7">
        <f t="shared" ref="D205:I205" si="113">SUM(D203:D204)</f>
        <v>33</v>
      </c>
      <c r="E205" s="7">
        <f t="shared" si="113"/>
        <v>29.366608879999951</v>
      </c>
      <c r="F205" s="7">
        <f t="shared" si="113"/>
        <v>31.882604772993318</v>
      </c>
      <c r="G205" s="7">
        <f t="shared" si="113"/>
        <v>38.10686485754718</v>
      </c>
      <c r="H205" s="7">
        <f t="shared" si="113"/>
        <v>23.455712778027703</v>
      </c>
      <c r="I205" s="7">
        <f t="shared" si="113"/>
        <v>28.842835522782821</v>
      </c>
      <c r="J205" s="7">
        <f>SUM(J203:J204)</f>
        <v>0</v>
      </c>
      <c r="K205" s="7">
        <f>SUM(K203:K204)</f>
        <v>0</v>
      </c>
      <c r="L205" s="7">
        <f>SUM(L203:L204)</f>
        <v>0</v>
      </c>
      <c r="M205" s="7">
        <f>SUM(M203:M204)</f>
        <v>0</v>
      </c>
      <c r="N205" s="7">
        <f>SUM(N203:N204)</f>
        <v>0</v>
      </c>
      <c r="O205" s="3"/>
      <c r="P205" s="3"/>
      <c r="Q205" s="3"/>
      <c r="R205" s="3"/>
      <c r="S205" s="3"/>
      <c r="T205" s="3"/>
      <c r="U205" s="3"/>
      <c r="V205" s="3"/>
    </row>
    <row r="206" spans="1:22" ht="15">
      <c r="A206" s="1">
        <f t="shared" si="105"/>
        <v>206</v>
      </c>
      <c r="B206" s="56" t="s">
        <v>273</v>
      </c>
      <c r="C206" s="4" t="s">
        <v>71</v>
      </c>
      <c r="D206" s="7">
        <f>SUM($D$127:D127)+SUM($D$129:D129)-SUM($D$131:D131)-SUM($D$135:D135)</f>
        <v>30</v>
      </c>
      <c r="E206" s="7">
        <f>SUM($D$127:E127)+SUM($D$129:E129)-SUM($D$131:E131)-SUM($D$135:E135)</f>
        <v>30.936000000000007</v>
      </c>
      <c r="F206" s="7">
        <f>SUM($D$127:F127)+SUM($D$129:F129)-SUM($D$131:F131)-SUM($D$135:F135)</f>
        <v>24.242400000000007</v>
      </c>
      <c r="G206" s="7">
        <f>SUM($D$127:G127)+SUM($D$129:G129)-SUM($D$131:G131)-SUM($D$135:G135)</f>
        <v>17.548800000000007</v>
      </c>
      <c r="H206" s="7">
        <f>SUM($D$127:H127)+SUM($D$129:H129)-SUM($D$131:H131)-SUM($D$135:H135)</f>
        <v>55.21579148045253</v>
      </c>
      <c r="I206" s="7">
        <f>SUM($D$127:I127)+SUM($D$129:I129)-SUM($D$131:I131)-SUM($D$135:I135)</f>
        <v>44.086132332407281</v>
      </c>
      <c r="J206" s="7">
        <f>SUM($D$127:J127)+SUM($D$129:J129)-SUM($D$131:J131)-SUM($D$135:J135)</f>
        <v>38.956473184362025</v>
      </c>
      <c r="K206" s="7">
        <f>SUM($D$127:K127)+SUM($D$129:K129)-SUM($D$131:K131)-SUM($D$135:K135)</f>
        <v>33.826814036316776</v>
      </c>
      <c r="L206" s="7">
        <f>SUM($D$127:L127)+SUM($D$129:L129)-SUM($D$131:L131)-SUM($D$135:L135)</f>
        <v>28.69715488827152</v>
      </c>
      <c r="M206" s="7">
        <f>SUM($D$127:M127)+SUM($D$129:M129)-SUM($D$131:M131)-SUM($D$135:M135)</f>
        <v>23.567495740226267</v>
      </c>
      <c r="N206" s="7">
        <f>SUM($D$127:N127)+SUM($D$129:N129)-SUM($D$131:N131)-SUM($D$135:N135)</f>
        <v>18.437836592181014</v>
      </c>
      <c r="O206" s="3"/>
      <c r="P206" s="3"/>
      <c r="Q206" s="3"/>
      <c r="R206" s="3"/>
      <c r="S206" s="3"/>
      <c r="T206" s="3"/>
      <c r="U206" s="3"/>
      <c r="V206" s="3"/>
    </row>
    <row r="207" spans="1:22" ht="15">
      <c r="A207" s="1">
        <f t="shared" si="105"/>
        <v>207</v>
      </c>
      <c r="B207" s="56" t="s">
        <v>274</v>
      </c>
      <c r="C207" s="4"/>
      <c r="D207" s="7">
        <f>++D206+D205</f>
        <v>63</v>
      </c>
      <c r="E207" s="7">
        <f t="shared" ref="E207:N207" si="114">+E206+E205</f>
        <v>60.302608879999958</v>
      </c>
      <c r="F207" s="7">
        <f t="shared" si="114"/>
        <v>56.125004772993321</v>
      </c>
      <c r="G207" s="7">
        <f t="shared" si="114"/>
        <v>55.655664857547187</v>
      </c>
      <c r="H207" s="7">
        <f t="shared" si="114"/>
        <v>78.67150425848024</v>
      </c>
      <c r="I207" s="7">
        <f t="shared" si="114"/>
        <v>72.928967855190109</v>
      </c>
      <c r="J207" s="7">
        <f t="shared" si="114"/>
        <v>38.956473184362025</v>
      </c>
      <c r="K207" s="7">
        <f t="shared" si="114"/>
        <v>33.826814036316776</v>
      </c>
      <c r="L207" s="7">
        <f t="shared" si="114"/>
        <v>28.69715488827152</v>
      </c>
      <c r="M207" s="7">
        <f t="shared" si="114"/>
        <v>23.567495740226267</v>
      </c>
      <c r="N207" s="7">
        <f t="shared" si="114"/>
        <v>18.437836592181014</v>
      </c>
      <c r="O207" s="3"/>
      <c r="P207" s="3"/>
      <c r="Q207" s="3"/>
      <c r="R207" s="3"/>
      <c r="S207" s="3"/>
      <c r="T207" s="3"/>
      <c r="U207" s="3"/>
      <c r="V207" s="3"/>
    </row>
    <row r="208" spans="1:22" ht="15">
      <c r="A208" s="1">
        <f t="shared" si="105"/>
        <v>208</v>
      </c>
      <c r="B208" s="56" t="s">
        <v>275</v>
      </c>
      <c r="C208" s="4" t="s">
        <v>73</v>
      </c>
      <c r="D208" s="7">
        <f>+D7</f>
        <v>15</v>
      </c>
      <c r="E208" s="7">
        <f t="shared" ref="E208:N208" si="115">+D208+E139</f>
        <v>15</v>
      </c>
      <c r="F208" s="7">
        <f t="shared" si="115"/>
        <v>15</v>
      </c>
      <c r="G208" s="7">
        <f t="shared" si="115"/>
        <v>15</v>
      </c>
      <c r="H208" s="7">
        <f t="shared" si="115"/>
        <v>15</v>
      </c>
      <c r="I208" s="7">
        <f t="shared" si="115"/>
        <v>15</v>
      </c>
      <c r="J208" s="7">
        <f>+I208+J139</f>
        <v>15</v>
      </c>
      <c r="K208" s="7">
        <f t="shared" si="115"/>
        <v>15</v>
      </c>
      <c r="L208" s="7">
        <f t="shared" si="115"/>
        <v>15</v>
      </c>
      <c r="M208" s="7">
        <f t="shared" si="115"/>
        <v>15</v>
      </c>
      <c r="N208" s="7">
        <f t="shared" si="115"/>
        <v>15</v>
      </c>
      <c r="O208" s="3"/>
      <c r="P208" s="3"/>
      <c r="Q208" s="3"/>
      <c r="R208" s="3"/>
      <c r="S208" s="3"/>
      <c r="T208" s="3"/>
      <c r="U208" s="3"/>
      <c r="V208" s="3"/>
    </row>
    <row r="209" spans="1:22" ht="15">
      <c r="A209" s="1">
        <f t="shared" si="105"/>
        <v>209</v>
      </c>
      <c r="B209" s="56" t="s">
        <v>276</v>
      </c>
      <c r="C209" s="4" t="s">
        <v>74</v>
      </c>
      <c r="D209" s="7">
        <f t="shared" ref="D209:I209" si="116">D190</f>
        <v>0</v>
      </c>
      <c r="E209" s="7">
        <f t="shared" si="116"/>
        <v>10.15738412000006</v>
      </c>
      <c r="F209" s="7">
        <f t="shared" si="116"/>
        <v>18.437755177323485</v>
      </c>
      <c r="G209" s="7">
        <f t="shared" si="116"/>
        <v>27.073449081925489</v>
      </c>
      <c r="H209" s="7">
        <f t="shared" si="116"/>
        <v>37.773312072602977</v>
      </c>
      <c r="I209" s="7">
        <f t="shared" si="116"/>
        <v>46.498079684738187</v>
      </c>
      <c r="J209" s="7">
        <f>J190</f>
        <v>61.076676081231682</v>
      </c>
      <c r="K209" s="7">
        <f>K190</f>
        <v>96.220712595658682</v>
      </c>
      <c r="L209" s="7">
        <f>L190</f>
        <v>137.23888224136857</v>
      </c>
      <c r="M209" s="7">
        <f>M190</f>
        <v>184.75396113751881</v>
      </c>
      <c r="N209" s="7">
        <f>N190</f>
        <v>237.08053110741622</v>
      </c>
      <c r="O209" s="3"/>
      <c r="P209" s="3"/>
      <c r="Q209" s="3"/>
      <c r="R209" s="3"/>
      <c r="S209" s="3"/>
      <c r="T209" s="3"/>
      <c r="U209" s="3"/>
      <c r="V209" s="3"/>
    </row>
    <row r="210" spans="1:22" ht="15">
      <c r="A210" s="1">
        <f t="shared" si="105"/>
        <v>210</v>
      </c>
      <c r="B210" s="56" t="s">
        <v>221</v>
      </c>
      <c r="C210" s="4"/>
      <c r="D210" s="7"/>
      <c r="E210" s="7">
        <f>-E141</f>
        <v>0</v>
      </c>
      <c r="F210" s="7">
        <f t="shared" ref="F210:N210" si="117">+E210-F141</f>
        <v>0</v>
      </c>
      <c r="G210" s="7">
        <f t="shared" si="117"/>
        <v>0</v>
      </c>
      <c r="H210" s="7">
        <f t="shared" si="117"/>
        <v>0</v>
      </c>
      <c r="I210" s="7">
        <f t="shared" si="117"/>
        <v>0</v>
      </c>
      <c r="J210" s="7">
        <f>+I210-J141</f>
        <v>0</v>
      </c>
      <c r="K210" s="7">
        <f t="shared" si="117"/>
        <v>0</v>
      </c>
      <c r="L210" s="7">
        <f t="shared" si="117"/>
        <v>0</v>
      </c>
      <c r="M210" s="7">
        <f t="shared" si="117"/>
        <v>0</v>
      </c>
      <c r="N210" s="7">
        <f t="shared" si="117"/>
        <v>0</v>
      </c>
      <c r="O210" s="3"/>
      <c r="P210" s="3"/>
      <c r="Q210" s="3"/>
      <c r="R210" s="3"/>
      <c r="S210" s="3"/>
      <c r="T210" s="3"/>
      <c r="U210" s="3"/>
      <c r="V210" s="3"/>
    </row>
    <row r="211" spans="1:22" ht="30">
      <c r="A211" s="1">
        <f t="shared" si="105"/>
        <v>211</v>
      </c>
      <c r="B211" s="56" t="s">
        <v>277</v>
      </c>
      <c r="C211" s="4"/>
      <c r="D211" s="17">
        <f t="shared" ref="D211:I211" si="118">SUM(D203:D210)-D207-D205</f>
        <v>78</v>
      </c>
      <c r="E211" s="17">
        <f t="shared" si="118"/>
        <v>85.459993000000026</v>
      </c>
      <c r="F211" s="17">
        <f t="shared" si="118"/>
        <v>89.562759950316803</v>
      </c>
      <c r="G211" s="17">
        <f t="shared" si="118"/>
        <v>97.729113939472683</v>
      </c>
      <c r="H211" s="17">
        <f t="shared" si="118"/>
        <v>131.44481633108322</v>
      </c>
      <c r="I211" s="17">
        <f t="shared" si="118"/>
        <v>134.42704753992828</v>
      </c>
      <c r="J211" s="17">
        <f>SUM(J203:J210)-J207-J205</f>
        <v>115.03314926559371</v>
      </c>
      <c r="K211" s="17">
        <f>SUM(K203:K210)-K207-K205</f>
        <v>145.04752663197547</v>
      </c>
      <c r="L211" s="17">
        <f>SUM(L203:L210)-L207-L205</f>
        <v>180.93603712964008</v>
      </c>
      <c r="M211" s="17">
        <f>SUM(M203:M210)-M207-M205</f>
        <v>223.32145687774508</v>
      </c>
      <c r="N211" s="17">
        <f>SUM(N203:N210)-N207-N205</f>
        <v>270.51836769959721</v>
      </c>
      <c r="O211" s="30"/>
      <c r="P211" s="30"/>
      <c r="Q211" s="30"/>
      <c r="R211" s="3"/>
      <c r="S211" s="3"/>
      <c r="T211" s="3"/>
      <c r="U211" s="3"/>
      <c r="V211" s="3"/>
    </row>
    <row r="212" spans="1:22" ht="15">
      <c r="A212" s="1">
        <f t="shared" si="105"/>
        <v>212</v>
      </c>
      <c r="B212" s="57" t="s">
        <v>75</v>
      </c>
      <c r="C212" s="4"/>
      <c r="D212" s="7">
        <f t="shared" ref="D212:I212" si="119">D211-D201</f>
        <v>0</v>
      </c>
      <c r="E212" s="7">
        <f t="shared" si="119"/>
        <v>0</v>
      </c>
      <c r="F212" s="7">
        <f t="shared" si="119"/>
        <v>0</v>
      </c>
      <c r="G212" s="7">
        <f t="shared" si="119"/>
        <v>0</v>
      </c>
      <c r="H212" s="7">
        <f t="shared" si="119"/>
        <v>0</v>
      </c>
      <c r="I212" s="7">
        <f t="shared" si="119"/>
        <v>0</v>
      </c>
      <c r="J212" s="7">
        <f>J211-J201</f>
        <v>0</v>
      </c>
      <c r="K212" s="7">
        <f>K211-K201</f>
        <v>0</v>
      </c>
      <c r="L212" s="7">
        <f>L211-L201</f>
        <v>0</v>
      </c>
      <c r="M212" s="7">
        <f>M211-M201</f>
        <v>0</v>
      </c>
      <c r="N212" s="7">
        <f>N211-N201</f>
        <v>0</v>
      </c>
      <c r="O212" s="30"/>
      <c r="P212" s="30"/>
      <c r="Q212" s="30"/>
      <c r="R212" s="3"/>
      <c r="S212" s="3"/>
      <c r="T212" s="3"/>
      <c r="U212" s="3"/>
      <c r="V212" s="3"/>
    </row>
    <row r="213" spans="1:22" ht="15">
      <c r="A213" s="1"/>
      <c r="B213" s="79"/>
      <c r="C213" s="4"/>
      <c r="D213" s="7"/>
      <c r="E213" s="7"/>
      <c r="F213" s="7"/>
      <c r="G213" s="7"/>
      <c r="H213" s="7"/>
      <c r="I213" s="7"/>
      <c r="J213" s="25"/>
      <c r="K213" s="25"/>
      <c r="L213" s="3"/>
      <c r="M213" s="3"/>
      <c r="N213" s="30"/>
      <c r="O213" s="30"/>
      <c r="P213" s="30"/>
      <c r="Q213" s="30"/>
      <c r="R213" s="3"/>
      <c r="S213" s="3"/>
      <c r="T213" s="3"/>
      <c r="U213" s="3"/>
      <c r="V213" s="3"/>
    </row>
    <row r="214" spans="1:22" ht="15">
      <c r="A214" s="1">
        <f t="shared" ref="A214:A259" si="120">ROW(B214)</f>
        <v>214</v>
      </c>
      <c r="B214" s="76" t="s">
        <v>76</v>
      </c>
      <c r="D214" s="37"/>
      <c r="E214" s="60"/>
      <c r="F214" s="60"/>
      <c r="G214" s="60"/>
      <c r="H214" s="60"/>
      <c r="I214" s="60"/>
      <c r="J214" s="25"/>
      <c r="K214" s="25"/>
    </row>
    <row r="215" spans="1:22" ht="15">
      <c r="A215" s="1">
        <f t="shared" si="120"/>
        <v>215</v>
      </c>
      <c r="B215" s="76" t="s">
        <v>77</v>
      </c>
      <c r="D215" s="114"/>
      <c r="E215" s="60"/>
      <c r="F215" s="60"/>
      <c r="G215" s="60"/>
      <c r="H215" s="60"/>
      <c r="I215" s="60"/>
      <c r="J215" s="25"/>
      <c r="K215" s="25"/>
    </row>
    <row r="216" spans="1:22" ht="15">
      <c r="A216" s="1">
        <f t="shared" si="120"/>
        <v>216</v>
      </c>
      <c r="B216" s="76" t="s">
        <v>78</v>
      </c>
      <c r="D216" s="37"/>
      <c r="E216" s="60"/>
      <c r="F216" s="60"/>
      <c r="G216" s="60"/>
      <c r="J216" s="25"/>
      <c r="K216" s="25"/>
    </row>
    <row r="217" spans="1:22" ht="15">
      <c r="A217" s="1">
        <f t="shared" si="120"/>
        <v>217</v>
      </c>
      <c r="B217" s="76" t="s">
        <v>79</v>
      </c>
      <c r="D217" s="37"/>
      <c r="E217" s="60"/>
      <c r="F217" s="60"/>
      <c r="G217" s="60"/>
      <c r="H217" s="60"/>
      <c r="I217" s="60"/>
      <c r="J217" s="25"/>
      <c r="K217" s="25"/>
    </row>
    <row r="218" spans="1:22" ht="15">
      <c r="A218" s="1">
        <f t="shared" si="120"/>
        <v>218</v>
      </c>
      <c r="B218" s="76" t="s">
        <v>76</v>
      </c>
      <c r="D218" s="115"/>
      <c r="F218" s="117"/>
      <c r="G218" s="117"/>
      <c r="H218" s="117"/>
      <c r="I218" s="117"/>
      <c r="J218" s="75"/>
      <c r="K218" s="25"/>
    </row>
    <row r="219" spans="1:22" ht="15">
      <c r="A219" s="1">
        <f t="shared" si="120"/>
        <v>219</v>
      </c>
      <c r="B219" s="76"/>
      <c r="D219" s="59"/>
      <c r="E219" s="116"/>
      <c r="F219" s="116"/>
      <c r="G219" s="116"/>
      <c r="H219" s="116"/>
      <c r="I219" s="116"/>
      <c r="J219" s="25"/>
      <c r="K219" s="25"/>
    </row>
    <row r="220" spans="1:22" ht="15">
      <c r="A220" s="1">
        <f t="shared" si="120"/>
        <v>220</v>
      </c>
      <c r="B220" s="76"/>
      <c r="D220" s="61"/>
      <c r="E220" s="59"/>
      <c r="F220" s="59"/>
      <c r="G220" s="59"/>
      <c r="H220" s="59"/>
      <c r="I220" s="59"/>
      <c r="J220" s="25"/>
      <c r="K220" s="25"/>
    </row>
    <row r="221" spans="1:22" ht="15">
      <c r="A221" s="1">
        <f t="shared" si="120"/>
        <v>221</v>
      </c>
      <c r="B221" s="76" t="s">
        <v>80</v>
      </c>
      <c r="D221" s="59"/>
      <c r="E221" s="61"/>
      <c r="F221" s="61"/>
      <c r="G221" s="61"/>
      <c r="H221" s="61"/>
      <c r="I221" s="61"/>
      <c r="J221" s="25"/>
      <c r="K221" s="25"/>
    </row>
    <row r="222" spans="1:22" ht="15">
      <c r="A222" s="1">
        <f t="shared" si="120"/>
        <v>222</v>
      </c>
      <c r="B222" s="76" t="s">
        <v>81</v>
      </c>
      <c r="D222" s="59"/>
      <c r="E222" s="61"/>
      <c r="F222" s="61"/>
      <c r="G222" s="61"/>
      <c r="H222" s="61"/>
      <c r="I222" s="61"/>
      <c r="J222" s="25"/>
      <c r="K222" s="25"/>
    </row>
    <row r="223" spans="1:22" ht="15">
      <c r="A223" s="1">
        <f t="shared" si="120"/>
        <v>223</v>
      </c>
      <c r="B223" s="76" t="s">
        <v>82</v>
      </c>
      <c r="D223" s="59"/>
      <c r="E223" s="61"/>
      <c r="F223" s="61"/>
      <c r="G223" s="61"/>
      <c r="H223" s="61"/>
      <c r="I223" s="61"/>
      <c r="J223" s="25"/>
      <c r="K223" s="25"/>
    </row>
    <row r="224" spans="1:22" ht="15">
      <c r="A224" s="1">
        <f t="shared" si="120"/>
        <v>224</v>
      </c>
      <c r="B224" s="76" t="s">
        <v>83</v>
      </c>
      <c r="D224" s="59"/>
      <c r="E224" s="61"/>
      <c r="F224" s="61"/>
      <c r="G224" s="61"/>
      <c r="H224" s="61"/>
      <c r="I224" s="61"/>
      <c r="J224" s="25"/>
      <c r="K224" s="25"/>
    </row>
    <row r="225" spans="1:11" ht="15">
      <c r="A225" s="1">
        <f t="shared" si="120"/>
        <v>225</v>
      </c>
      <c r="B225" s="76" t="s">
        <v>80</v>
      </c>
      <c r="D225" s="59"/>
      <c r="E225" s="61"/>
      <c r="F225" s="61"/>
      <c r="G225" s="61"/>
      <c r="H225" s="61"/>
      <c r="I225" s="61"/>
      <c r="J225" s="25"/>
      <c r="K225" s="25"/>
    </row>
    <row r="226" spans="1:11" ht="15">
      <c r="A226" s="1">
        <f t="shared" si="120"/>
        <v>226</v>
      </c>
      <c r="B226" s="76"/>
      <c r="E226" s="61"/>
      <c r="F226" s="61"/>
      <c r="G226" s="61"/>
      <c r="H226" s="61"/>
      <c r="I226" s="61"/>
      <c r="J226" s="25"/>
      <c r="K226" s="25"/>
    </row>
    <row r="227" spans="1:11" ht="15">
      <c r="A227" s="1">
        <f t="shared" si="120"/>
        <v>227</v>
      </c>
      <c r="B227" s="76" t="s">
        <v>84</v>
      </c>
      <c r="J227" s="25"/>
      <c r="K227" s="25"/>
    </row>
    <row r="228" spans="1:11" ht="12.75">
      <c r="A228" s="1">
        <f t="shared" si="120"/>
        <v>228</v>
      </c>
      <c r="J228" s="25"/>
      <c r="K228" s="25"/>
    </row>
    <row r="229" spans="1:11" ht="15">
      <c r="A229" s="1">
        <f t="shared" si="120"/>
        <v>229</v>
      </c>
      <c r="B229" s="77" t="s">
        <v>85</v>
      </c>
      <c r="J229" s="25"/>
      <c r="K229" s="25"/>
    </row>
    <row r="230" spans="1:11" ht="15">
      <c r="A230" s="1">
        <f t="shared" si="120"/>
        <v>230</v>
      </c>
      <c r="B230" s="77"/>
      <c r="J230" s="25"/>
      <c r="K230" s="25"/>
    </row>
    <row r="231" spans="1:11" ht="15">
      <c r="A231" s="1">
        <f t="shared" si="120"/>
        <v>231</v>
      </c>
      <c r="B231" s="77" t="s">
        <v>86</v>
      </c>
      <c r="J231" s="25"/>
      <c r="K231" s="25"/>
    </row>
    <row r="232" spans="1:11" ht="12.75">
      <c r="A232" s="1">
        <f t="shared" si="120"/>
        <v>232</v>
      </c>
      <c r="J232" s="25"/>
      <c r="K232" s="25"/>
    </row>
    <row r="233" spans="1:11" ht="12.75">
      <c r="A233" s="1">
        <f t="shared" si="120"/>
        <v>233</v>
      </c>
      <c r="J233" s="25"/>
      <c r="K233" s="25"/>
    </row>
    <row r="234" spans="1:11" ht="15">
      <c r="A234" s="1">
        <f t="shared" si="120"/>
        <v>234</v>
      </c>
      <c r="B234" s="77" t="s">
        <v>87</v>
      </c>
      <c r="J234" s="25"/>
      <c r="K234" s="25"/>
    </row>
    <row r="235" spans="1:11" ht="15">
      <c r="A235" s="1">
        <f t="shared" si="120"/>
        <v>235</v>
      </c>
      <c r="B235" s="78" t="s">
        <v>88</v>
      </c>
      <c r="J235" s="25"/>
      <c r="K235" s="25"/>
    </row>
    <row r="236" spans="1:11" ht="15">
      <c r="A236" s="1">
        <f t="shared" si="120"/>
        <v>236</v>
      </c>
      <c r="B236" s="78" t="s">
        <v>89</v>
      </c>
      <c r="J236" s="25"/>
      <c r="K236" s="25"/>
    </row>
    <row r="237" spans="1:11" ht="15">
      <c r="A237" s="1">
        <f t="shared" si="120"/>
        <v>237</v>
      </c>
      <c r="B237" s="77" t="s">
        <v>90</v>
      </c>
      <c r="J237" s="25"/>
      <c r="K237" s="25"/>
    </row>
    <row r="238" spans="1:11" ht="15">
      <c r="A238" s="1">
        <f t="shared" si="120"/>
        <v>238</v>
      </c>
      <c r="B238" s="77" t="s">
        <v>91</v>
      </c>
      <c r="J238" s="25"/>
      <c r="K238" s="25"/>
    </row>
    <row r="239" spans="1:11" ht="15">
      <c r="A239" s="1">
        <f t="shared" si="120"/>
        <v>239</v>
      </c>
      <c r="B239" s="77" t="s">
        <v>92</v>
      </c>
      <c r="J239" s="25"/>
      <c r="K239" s="25"/>
    </row>
    <row r="240" spans="1:11" ht="15">
      <c r="A240" s="1">
        <f t="shared" si="120"/>
        <v>240</v>
      </c>
      <c r="B240" s="77" t="s">
        <v>93</v>
      </c>
      <c r="J240" s="25"/>
      <c r="K240" s="25"/>
    </row>
    <row r="241" spans="1:11" ht="15">
      <c r="A241" s="1">
        <f t="shared" si="120"/>
        <v>241</v>
      </c>
      <c r="B241" s="77" t="s">
        <v>94</v>
      </c>
      <c r="J241" s="25"/>
      <c r="K241" s="25"/>
    </row>
    <row r="242" spans="1:11" ht="15">
      <c r="A242" s="1">
        <f t="shared" si="120"/>
        <v>242</v>
      </c>
      <c r="B242" s="77" t="s">
        <v>92</v>
      </c>
      <c r="J242" s="25"/>
      <c r="K242" s="25"/>
    </row>
    <row r="243" spans="1:11" ht="15">
      <c r="A243" s="1">
        <f t="shared" si="120"/>
        <v>243</v>
      </c>
      <c r="B243" s="77"/>
      <c r="J243" s="25"/>
      <c r="K243" s="25"/>
    </row>
    <row r="244" spans="1:11" ht="15">
      <c r="A244" s="1">
        <f t="shared" si="120"/>
        <v>244</v>
      </c>
      <c r="B244" s="77" t="s">
        <v>95</v>
      </c>
      <c r="J244" s="25"/>
      <c r="K244" s="25"/>
    </row>
    <row r="245" spans="1:11" ht="15">
      <c r="A245" s="1">
        <f t="shared" si="120"/>
        <v>245</v>
      </c>
      <c r="B245" s="77" t="s">
        <v>96</v>
      </c>
      <c r="J245" s="25"/>
      <c r="K245" s="25"/>
    </row>
    <row r="246" spans="1:11" ht="15">
      <c r="A246" s="1">
        <f t="shared" si="120"/>
        <v>246</v>
      </c>
      <c r="B246" s="77" t="s">
        <v>97</v>
      </c>
      <c r="J246" s="25"/>
      <c r="K246" s="25"/>
    </row>
    <row r="247" spans="1:11" ht="15">
      <c r="A247" s="1">
        <f t="shared" si="120"/>
        <v>247</v>
      </c>
      <c r="B247" s="77" t="s">
        <v>98</v>
      </c>
      <c r="J247" s="25"/>
      <c r="K247" s="25"/>
    </row>
    <row r="248" spans="1:11" ht="15">
      <c r="A248" s="1">
        <f t="shared" si="120"/>
        <v>248</v>
      </c>
      <c r="B248" s="77" t="s">
        <v>99</v>
      </c>
      <c r="J248" s="25"/>
      <c r="K248" s="25"/>
    </row>
    <row r="249" spans="1:11" ht="15">
      <c r="A249" s="1">
        <f t="shared" si="120"/>
        <v>249</v>
      </c>
      <c r="B249" s="77" t="s">
        <v>100</v>
      </c>
      <c r="J249" s="25"/>
      <c r="K249" s="25"/>
    </row>
    <row r="250" spans="1:11" ht="15">
      <c r="A250" s="1">
        <f t="shared" si="120"/>
        <v>250</v>
      </c>
      <c r="B250" s="77" t="s">
        <v>101</v>
      </c>
      <c r="J250" s="25"/>
      <c r="K250" s="25"/>
    </row>
    <row r="251" spans="1:11" ht="15">
      <c r="A251" s="1">
        <f t="shared" si="120"/>
        <v>251</v>
      </c>
      <c r="B251" s="77" t="s">
        <v>102</v>
      </c>
      <c r="J251" s="25"/>
      <c r="K251" s="25"/>
    </row>
    <row r="252" spans="1:11" ht="15">
      <c r="A252" s="1">
        <f t="shared" si="120"/>
        <v>252</v>
      </c>
      <c r="B252" s="77" t="s">
        <v>103</v>
      </c>
      <c r="J252" s="25"/>
      <c r="K252" s="25"/>
    </row>
    <row r="253" spans="1:11" ht="15">
      <c r="A253" s="1">
        <f t="shared" si="120"/>
        <v>253</v>
      </c>
      <c r="B253" s="77" t="s">
        <v>86</v>
      </c>
      <c r="J253" s="25"/>
      <c r="K253" s="25"/>
    </row>
    <row r="254" spans="1:11" ht="15">
      <c r="A254" s="1">
        <f t="shared" si="120"/>
        <v>254</v>
      </c>
      <c r="B254" s="77"/>
      <c r="J254" s="25"/>
      <c r="K254" s="25"/>
    </row>
    <row r="255" spans="1:11" ht="15">
      <c r="A255" s="1">
        <f t="shared" si="120"/>
        <v>255</v>
      </c>
      <c r="B255" s="77" t="s">
        <v>104</v>
      </c>
      <c r="J255" s="25"/>
      <c r="K255" s="25"/>
    </row>
    <row r="256" spans="1:11" ht="15">
      <c r="A256" s="1">
        <f t="shared" si="120"/>
        <v>256</v>
      </c>
      <c r="B256" s="77" t="s">
        <v>105</v>
      </c>
      <c r="J256" s="25"/>
      <c r="K256" s="25"/>
    </row>
    <row r="257" spans="1:11" ht="15">
      <c r="A257" s="1">
        <f t="shared" si="120"/>
        <v>257</v>
      </c>
      <c r="B257" s="77" t="s">
        <v>106</v>
      </c>
      <c r="J257" s="25"/>
      <c r="K257" s="25"/>
    </row>
    <row r="258" spans="1:11" ht="15">
      <c r="A258" s="1">
        <f t="shared" si="120"/>
        <v>258</v>
      </c>
      <c r="B258" s="77" t="s">
        <v>107</v>
      </c>
      <c r="J258" s="25"/>
      <c r="K258" s="25"/>
    </row>
    <row r="259" spans="1:11" ht="15">
      <c r="A259" s="1">
        <f t="shared" si="120"/>
        <v>259</v>
      </c>
      <c r="B259" s="77" t="s">
        <v>108</v>
      </c>
      <c r="J259" s="25"/>
      <c r="K259" s="25"/>
    </row>
    <row r="260" spans="1:11" ht="15">
      <c r="A260" s="1">
        <f>ROW(B260)</f>
        <v>260</v>
      </c>
      <c r="B260" s="77" t="s">
        <v>109</v>
      </c>
      <c r="J260" s="25"/>
      <c r="K260" s="25"/>
    </row>
    <row r="261" spans="1:11" ht="15">
      <c r="A261" s="1">
        <f>ROW(B261)</f>
        <v>261</v>
      </c>
      <c r="B261" s="77" t="s">
        <v>110</v>
      </c>
      <c r="J261" s="25"/>
      <c r="K261" s="25"/>
    </row>
    <row r="262" spans="1:11" ht="15">
      <c r="A262" s="1">
        <f>ROW(B262)</f>
        <v>262</v>
      </c>
      <c r="B262" s="77" t="s">
        <v>80</v>
      </c>
      <c r="J262" s="25"/>
      <c r="K262" s="25"/>
    </row>
    <row r="263" spans="1:11" ht="12.75">
      <c r="J263" s="25"/>
      <c r="K263" s="25"/>
    </row>
    <row r="264" spans="1:11" ht="15">
      <c r="A264" s="1">
        <f t="shared" ref="A264:A282" si="121">ROW(B264)</f>
        <v>264</v>
      </c>
      <c r="B264" s="6" t="s">
        <v>137</v>
      </c>
      <c r="C264" s="4"/>
      <c r="D264" s="22">
        <v>4</v>
      </c>
      <c r="E264" s="1" t="s">
        <v>138</v>
      </c>
      <c r="F264" s="17"/>
      <c r="G264" s="1"/>
      <c r="H264" s="1"/>
      <c r="I264" s="23"/>
      <c r="J264" s="25"/>
      <c r="K264" s="25"/>
    </row>
    <row r="265" spans="1:11" ht="15">
      <c r="A265" s="1">
        <f t="shared" si="121"/>
        <v>265</v>
      </c>
      <c r="B265" s="6"/>
      <c r="C265" s="4"/>
      <c r="D265" s="80" t="s">
        <v>139</v>
      </c>
      <c r="E265" s="80" t="s">
        <v>140</v>
      </c>
      <c r="F265" s="24" t="s">
        <v>141</v>
      </c>
      <c r="G265" s="1"/>
      <c r="H265" s="18"/>
      <c r="I265" s="23"/>
      <c r="J265" s="25"/>
      <c r="K265" s="25"/>
    </row>
    <row r="266" spans="1:11" ht="15">
      <c r="A266" s="1">
        <f t="shared" si="121"/>
        <v>266</v>
      </c>
      <c r="B266" s="81" t="s">
        <v>142</v>
      </c>
      <c r="C266" s="80" t="s">
        <v>143</v>
      </c>
      <c r="D266" s="82">
        <v>0.88800000000000001</v>
      </c>
      <c r="E266" s="82">
        <v>0.11880144047130198</v>
      </c>
      <c r="F266" s="3">
        <f>+D266/(1+E266)</f>
        <v>0.79370652188821322</v>
      </c>
      <c r="G266" s="83"/>
      <c r="H266" s="18"/>
      <c r="I266" s="23"/>
      <c r="J266" s="25"/>
      <c r="K266" s="25"/>
    </row>
    <row r="267" spans="1:11" ht="15">
      <c r="A267" s="1">
        <f t="shared" si="121"/>
        <v>267</v>
      </c>
      <c r="B267" s="81" t="s">
        <v>144</v>
      </c>
      <c r="C267" s="80" t="s">
        <v>145</v>
      </c>
      <c r="D267" s="82">
        <v>0.58399999999999996</v>
      </c>
      <c r="E267" s="82">
        <v>3.870677951898098E-2</v>
      </c>
      <c r="F267" s="3">
        <f>+D267/(1+E267)</f>
        <v>0.56223759343367996</v>
      </c>
      <c r="G267" s="83"/>
      <c r="H267" s="84"/>
      <c r="I267" s="85"/>
      <c r="J267" s="25"/>
      <c r="K267" s="25"/>
    </row>
    <row r="268" spans="1:11" ht="15">
      <c r="A268" s="1">
        <f t="shared" si="121"/>
        <v>268</v>
      </c>
      <c r="B268" s="81" t="s">
        <v>146</v>
      </c>
      <c r="C268" s="80" t="s">
        <v>147</v>
      </c>
      <c r="D268" s="82">
        <v>0.58099999999999996</v>
      </c>
      <c r="E268" s="82">
        <v>0.5879598254738172</v>
      </c>
      <c r="F268" s="3">
        <f>+D268/(1+E268)</f>
        <v>0.36587827392084088</v>
      </c>
      <c r="G268" s="83"/>
      <c r="H268" s="18"/>
      <c r="I268" s="23"/>
      <c r="J268" s="25"/>
      <c r="K268" s="25"/>
    </row>
    <row r="269" spans="1:11" ht="15">
      <c r="A269" s="1">
        <f t="shared" si="121"/>
        <v>269</v>
      </c>
      <c r="B269" s="86" t="s">
        <v>148</v>
      </c>
      <c r="C269" s="3"/>
      <c r="D269" s="81"/>
      <c r="E269" s="81" t="s">
        <v>149</v>
      </c>
      <c r="F269" s="87">
        <v>0.57394079999999992</v>
      </c>
      <c r="G269" s="3"/>
      <c r="H269" s="1"/>
      <c r="I269" s="25"/>
      <c r="J269" s="25"/>
      <c r="K269" s="25"/>
    </row>
    <row r="270" spans="1:11" ht="15">
      <c r="A270" s="1">
        <f t="shared" si="121"/>
        <v>270</v>
      </c>
      <c r="B270" s="86" t="s">
        <v>150</v>
      </c>
      <c r="C270" s="3"/>
      <c r="D270" s="88">
        <v>5.0099999999999999E-2</v>
      </c>
      <c r="E270" s="89" t="s">
        <v>151</v>
      </c>
      <c r="F270" s="90"/>
      <c r="G270" s="3"/>
      <c r="H270" s="1"/>
      <c r="I270" s="25"/>
      <c r="J270" s="25"/>
      <c r="K270" s="25"/>
    </row>
    <row r="271" spans="1:11" ht="15">
      <c r="A271" s="1">
        <f t="shared" si="121"/>
        <v>271</v>
      </c>
      <c r="B271" s="86" t="s">
        <v>152</v>
      </c>
      <c r="C271" s="3"/>
      <c r="D271" s="88">
        <v>0.10635839641636974</v>
      </c>
      <c r="E271" s="91"/>
      <c r="F271" s="90"/>
      <c r="G271" s="3"/>
      <c r="H271" s="1"/>
      <c r="I271" s="25"/>
      <c r="J271" s="25"/>
      <c r="K271" s="25"/>
    </row>
    <row r="272" spans="1:11" ht="15">
      <c r="A272" s="1">
        <f t="shared" si="121"/>
        <v>272</v>
      </c>
      <c r="B272" s="86" t="s">
        <v>153</v>
      </c>
      <c r="C272" s="3"/>
      <c r="D272" s="88">
        <v>1.9800000000000002E-2</v>
      </c>
      <c r="E272" s="89"/>
      <c r="F272" s="90"/>
      <c r="G272" s="3"/>
      <c r="H272" s="1"/>
      <c r="I272" s="25"/>
      <c r="J272" s="25"/>
      <c r="K272" s="25"/>
    </row>
    <row r="273" spans="1:11" ht="15">
      <c r="A273" s="1">
        <f t="shared" si="121"/>
        <v>273</v>
      </c>
      <c r="B273" s="86" t="s">
        <v>154</v>
      </c>
      <c r="C273" s="3"/>
      <c r="D273" s="88">
        <v>0.02</v>
      </c>
      <c r="E273" s="90"/>
      <c r="F273" s="90"/>
      <c r="G273" s="3"/>
      <c r="H273" s="1"/>
      <c r="I273" s="25"/>
      <c r="J273" s="25"/>
      <c r="K273" s="25"/>
    </row>
    <row r="274" spans="1:11" ht="15">
      <c r="A274" s="1">
        <f t="shared" si="121"/>
        <v>274</v>
      </c>
      <c r="B274" s="86" t="s">
        <v>155</v>
      </c>
      <c r="C274" s="3"/>
      <c r="D274" s="88">
        <v>1.17E-2</v>
      </c>
      <c r="E274" s="90"/>
      <c r="F274" s="90"/>
      <c r="G274" s="3"/>
      <c r="H274" s="1"/>
      <c r="I274" s="25"/>
      <c r="J274" s="25"/>
      <c r="K274" s="25"/>
    </row>
    <row r="275" spans="1:11" ht="15">
      <c r="A275" s="1">
        <f t="shared" si="121"/>
        <v>275</v>
      </c>
      <c r="B275" s="92" t="s">
        <v>156</v>
      </c>
      <c r="C275" s="28"/>
      <c r="D275" s="93">
        <f>(D271)*(1+D270)/(1+D272)</f>
        <v>0.10951848605298084</v>
      </c>
      <c r="E275" s="93"/>
      <c r="F275" s="9"/>
      <c r="G275" s="19"/>
      <c r="H275" s="1"/>
      <c r="I275" s="21"/>
      <c r="J275" s="25"/>
      <c r="K275" s="25"/>
    </row>
    <row r="276" spans="1:11" ht="12.75">
      <c r="A276" s="1">
        <f t="shared" si="121"/>
        <v>276</v>
      </c>
      <c r="B276" s="94" t="s">
        <v>157</v>
      </c>
      <c r="C276" s="3"/>
      <c r="D276" s="88">
        <f>+(E295+1)*(1+D270)-1</f>
        <v>5.0100000000000033E-2</v>
      </c>
      <c r="E276" s="19"/>
      <c r="F276" s="3"/>
      <c r="G276" s="3"/>
      <c r="H276" s="1"/>
      <c r="I276" s="21"/>
      <c r="J276" s="25"/>
      <c r="K276" s="25"/>
    </row>
    <row r="277" spans="1:11" ht="15">
      <c r="A277" s="1">
        <f t="shared" si="121"/>
        <v>277</v>
      </c>
      <c r="B277" s="86" t="s">
        <v>158</v>
      </c>
      <c r="C277" s="3"/>
      <c r="D277" s="95">
        <f>+D276+F269*D275+D274</f>
        <v>0.1246571275000367</v>
      </c>
      <c r="E277" s="96" t="s">
        <v>159</v>
      </c>
      <c r="F277" s="97"/>
      <c r="G277" s="3"/>
      <c r="H277" s="1"/>
      <c r="I277" s="21"/>
      <c r="J277" s="25"/>
      <c r="K277" s="25"/>
    </row>
    <row r="278" spans="1:11" ht="15">
      <c r="A278" s="1">
        <f t="shared" si="121"/>
        <v>278</v>
      </c>
      <c r="B278" s="98" t="s">
        <v>160</v>
      </c>
      <c r="C278" s="4"/>
      <c r="D278" s="99">
        <f>+(1+D277)/(1+D270)-1</f>
        <v>7.100002618801704E-2</v>
      </c>
      <c r="E278" s="1" t="s">
        <v>161</v>
      </c>
      <c r="F278" s="17"/>
      <c r="G278" s="29"/>
      <c r="H278" s="30"/>
      <c r="I278" s="21"/>
      <c r="J278" s="7"/>
    </row>
    <row r="279" spans="1:11" ht="15">
      <c r="A279" s="1">
        <f t="shared" si="121"/>
        <v>279</v>
      </c>
      <c r="B279" s="27" t="s">
        <v>162</v>
      </c>
      <c r="C279" s="4"/>
      <c r="D279" s="100">
        <v>5</v>
      </c>
      <c r="E279" s="1"/>
      <c r="F279" s="17"/>
      <c r="G279" s="29"/>
      <c r="H279" s="30"/>
      <c r="I279" s="21"/>
      <c r="J279" s="7"/>
    </row>
    <row r="280" spans="1:11" ht="15">
      <c r="A280" s="1">
        <f t="shared" si="121"/>
        <v>280</v>
      </c>
      <c r="B280" s="98" t="s">
        <v>163</v>
      </c>
      <c r="C280" s="4"/>
      <c r="D280" s="3"/>
      <c r="E280" s="3" t="s">
        <v>164</v>
      </c>
      <c r="F280" s="1"/>
      <c r="G280" s="1"/>
      <c r="H280" s="1"/>
      <c r="I280" s="1"/>
      <c r="J280" s="101"/>
    </row>
    <row r="281" spans="1:11" ht="15">
      <c r="A281" s="1">
        <f t="shared" si="121"/>
        <v>281</v>
      </c>
      <c r="B281" s="98" t="s">
        <v>165</v>
      </c>
      <c r="C281" s="4"/>
      <c r="D281" s="3"/>
      <c r="E281" s="3" t="s">
        <v>164</v>
      </c>
      <c r="F281" s="1"/>
      <c r="G281" s="1"/>
      <c r="H281" s="1"/>
      <c r="I281" s="1"/>
      <c r="J281" s="101"/>
    </row>
    <row r="282" spans="1:11" ht="15">
      <c r="A282" s="1">
        <f t="shared" si="121"/>
        <v>282</v>
      </c>
      <c r="B282" s="92" t="s">
        <v>166</v>
      </c>
      <c r="C282" s="28"/>
      <c r="D282" s="3"/>
      <c r="E282" s="3" t="s">
        <v>164</v>
      </c>
      <c r="F282" s="3"/>
      <c r="G282" s="3"/>
      <c r="H282" s="3"/>
      <c r="I282" s="3"/>
      <c r="J282" s="101"/>
    </row>
    <row r="283" spans="1:11" ht="12.75">
      <c r="A283" s="1">
        <f t="shared" ref="A283:A320" si="122">ROW(B283)</f>
        <v>283</v>
      </c>
    </row>
    <row r="284" spans="1:11" ht="12.75">
      <c r="A284" s="1">
        <f t="shared" si="122"/>
        <v>284</v>
      </c>
    </row>
    <row r="285" spans="1:11" ht="12.75">
      <c r="A285" s="1">
        <f t="shared" si="122"/>
        <v>285</v>
      </c>
      <c r="B285" s="58" t="s">
        <v>111</v>
      </c>
    </row>
    <row r="286" spans="1:11" ht="12.75">
      <c r="A286" s="1">
        <f t="shared" si="122"/>
        <v>286</v>
      </c>
      <c r="B286" s="58" t="s">
        <v>112</v>
      </c>
    </row>
    <row r="287" spans="1:11" ht="12.75">
      <c r="A287" s="1">
        <f t="shared" si="122"/>
        <v>287</v>
      </c>
      <c r="B287" s="58" t="s">
        <v>113</v>
      </c>
    </row>
    <row r="288" spans="1:11" ht="12.75">
      <c r="A288" s="1">
        <f t="shared" si="122"/>
        <v>288</v>
      </c>
    </row>
    <row r="289" spans="1:2" ht="12.75">
      <c r="A289" s="1">
        <f t="shared" si="122"/>
        <v>289</v>
      </c>
      <c r="B289" s="37" t="s">
        <v>114</v>
      </c>
    </row>
    <row r="290" spans="1:2" ht="12.75">
      <c r="A290" s="1">
        <f t="shared" si="122"/>
        <v>290</v>
      </c>
      <c r="B290" s="37" t="s">
        <v>115</v>
      </c>
    </row>
    <row r="291" spans="1:2" ht="12.75">
      <c r="A291" s="1">
        <f t="shared" si="122"/>
        <v>291</v>
      </c>
      <c r="B291" s="37" t="s">
        <v>116</v>
      </c>
    </row>
    <row r="292" spans="1:2" ht="12.75">
      <c r="A292" s="1">
        <f t="shared" si="122"/>
        <v>292</v>
      </c>
      <c r="B292" s="37" t="s">
        <v>117</v>
      </c>
    </row>
    <row r="293" spans="1:2" ht="12.75">
      <c r="A293" s="1">
        <f t="shared" si="122"/>
        <v>293</v>
      </c>
      <c r="B293" s="37" t="s">
        <v>118</v>
      </c>
    </row>
    <row r="294" spans="1:2" ht="12.75">
      <c r="A294" s="1">
        <f t="shared" si="122"/>
        <v>294</v>
      </c>
      <c r="B294" s="37" t="s">
        <v>119</v>
      </c>
    </row>
    <row r="295" spans="1:2" ht="12.75">
      <c r="A295" s="1">
        <f t="shared" si="122"/>
        <v>295</v>
      </c>
      <c r="B295" s="37" t="s">
        <v>120</v>
      </c>
    </row>
    <row r="296" spans="1:2" ht="12.75">
      <c r="A296" s="1">
        <f t="shared" si="122"/>
        <v>296</v>
      </c>
      <c r="B296" s="37" t="s">
        <v>111</v>
      </c>
    </row>
    <row r="297" spans="1:2" ht="12.75">
      <c r="A297" s="1">
        <f t="shared" si="122"/>
        <v>297</v>
      </c>
      <c r="B297" s="37"/>
    </row>
    <row r="298" spans="1:2" ht="12.75">
      <c r="A298" s="1">
        <f t="shared" si="122"/>
        <v>298</v>
      </c>
      <c r="B298" s="37" t="s">
        <v>121</v>
      </c>
    </row>
    <row r="299" spans="1:2" ht="12.75">
      <c r="A299" s="1">
        <f t="shared" si="122"/>
        <v>299</v>
      </c>
      <c r="B299" s="37" t="s">
        <v>122</v>
      </c>
    </row>
    <row r="300" spans="1:2" ht="12.75">
      <c r="A300" s="1">
        <f t="shared" si="122"/>
        <v>300</v>
      </c>
      <c r="B300" s="37" t="s">
        <v>111</v>
      </c>
    </row>
    <row r="301" spans="1:2" ht="12.75">
      <c r="A301" s="1">
        <f t="shared" si="122"/>
        <v>301</v>
      </c>
      <c r="B301" s="37" t="s">
        <v>123</v>
      </c>
    </row>
    <row r="302" spans="1:2" ht="12.75">
      <c r="A302" s="1">
        <f t="shared" si="122"/>
        <v>302</v>
      </c>
      <c r="B302" s="37"/>
    </row>
    <row r="303" spans="1:2" ht="12.75">
      <c r="A303" s="1">
        <f t="shared" si="122"/>
        <v>303</v>
      </c>
      <c r="B303" s="37" t="s">
        <v>124</v>
      </c>
    </row>
    <row r="304" spans="1:2" ht="12.75">
      <c r="A304" s="1">
        <f t="shared" si="122"/>
        <v>304</v>
      </c>
      <c r="B304" s="37"/>
    </row>
    <row r="305" spans="1:2" ht="12.75">
      <c r="A305" s="1">
        <f t="shared" si="122"/>
        <v>305</v>
      </c>
      <c r="B305" s="37" t="s">
        <v>125</v>
      </c>
    </row>
    <row r="306" spans="1:2" ht="12.75">
      <c r="A306" s="1">
        <f t="shared" si="122"/>
        <v>306</v>
      </c>
      <c r="B306" s="37" t="s">
        <v>126</v>
      </c>
    </row>
    <row r="307" spans="1:2" ht="12.75">
      <c r="A307" s="1">
        <f t="shared" si="122"/>
        <v>307</v>
      </c>
      <c r="B307" s="37"/>
    </row>
    <row r="308" spans="1:2" ht="12.75">
      <c r="A308" s="1">
        <f t="shared" si="122"/>
        <v>308</v>
      </c>
      <c r="B308" s="37" t="s">
        <v>127</v>
      </c>
    </row>
    <row r="309" spans="1:2" ht="12.75">
      <c r="A309" s="1">
        <f t="shared" si="122"/>
        <v>309</v>
      </c>
      <c r="B309" s="37" t="s">
        <v>128</v>
      </c>
    </row>
    <row r="310" spans="1:2" ht="12.75">
      <c r="A310" s="1">
        <f t="shared" si="122"/>
        <v>310</v>
      </c>
      <c r="B310" s="37" t="s">
        <v>129</v>
      </c>
    </row>
    <row r="311" spans="1:2" ht="12.75">
      <c r="A311" s="1">
        <f t="shared" si="122"/>
        <v>311</v>
      </c>
      <c r="B311" s="37" t="s">
        <v>130</v>
      </c>
    </row>
    <row r="312" spans="1:2" ht="12.75">
      <c r="A312" s="1">
        <f t="shared" si="122"/>
        <v>312</v>
      </c>
      <c r="B312" s="37" t="s">
        <v>131</v>
      </c>
    </row>
    <row r="313" spans="1:2" ht="12.75">
      <c r="A313" s="1">
        <f t="shared" si="122"/>
        <v>313</v>
      </c>
      <c r="B313" s="37" t="s">
        <v>132</v>
      </c>
    </row>
    <row r="314" spans="1:2" ht="12.75">
      <c r="A314" s="1">
        <f t="shared" si="122"/>
        <v>314</v>
      </c>
    </row>
    <row r="315" spans="1:2" ht="12.75">
      <c r="A315" s="1">
        <f t="shared" si="122"/>
        <v>315</v>
      </c>
      <c r="B315" s="37" t="s">
        <v>84</v>
      </c>
    </row>
    <row r="316" spans="1:2" ht="12.75">
      <c r="A316" s="1">
        <f t="shared" si="122"/>
        <v>316</v>
      </c>
      <c r="B316" s="37" t="s">
        <v>133</v>
      </c>
    </row>
    <row r="317" spans="1:2" ht="12.75">
      <c r="A317" s="1">
        <f t="shared" si="122"/>
        <v>317</v>
      </c>
      <c r="B317" s="37"/>
    </row>
    <row r="318" spans="1:2" ht="12.75">
      <c r="A318" s="1">
        <f t="shared" si="122"/>
        <v>318</v>
      </c>
      <c r="B318" s="37" t="s">
        <v>134</v>
      </c>
    </row>
    <row r="319" spans="1:2" ht="12.75">
      <c r="A319" s="1">
        <f t="shared" si="122"/>
        <v>319</v>
      </c>
      <c r="B319" s="37" t="s">
        <v>135</v>
      </c>
    </row>
    <row r="320" spans="1:2" ht="12.75">
      <c r="A320" s="1">
        <f t="shared" si="122"/>
        <v>320</v>
      </c>
      <c r="B320" s="37" t="s">
        <v>136</v>
      </c>
    </row>
  </sheetData>
  <phoneticPr fontId="0" type="noConversion"/>
  <dataValidations count="2">
    <dataValidation type="decimal" allowBlank="1" showInputMessage="1" showErrorMessage="1" promptTitle="Payout Ratio" prompt="A value between 0 and 100" sqref="E32:I32">
      <formula1>0</formula1>
      <formula2>1</formula2>
    </dataValidation>
    <dataValidation type="decimal" allowBlank="1" showInputMessage="1" showErrorMessage="1" promptTitle="Repurchase of equity" prompt="% of Depreciation as Repurchase of equity" sqref="E39:N39">
      <formula1>0</formula1>
      <formula2>1</formula2>
    </dataValidation>
  </dataValidations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33"/>
  <sheetViews>
    <sheetView tabSelected="1" zoomScaleNormal="100" workbookViewId="0">
      <pane xSplit="2" ySplit="2" topLeftCell="D135" activePane="bottomRight" state="frozen"/>
      <selection pane="topRight" activeCell="C1" sqref="C1"/>
      <selection pane="bottomLeft" activeCell="A3" sqref="A3"/>
      <selection pane="bottomRight" activeCell="F135" sqref="F135:N135"/>
    </sheetView>
  </sheetViews>
  <sheetFormatPr baseColWidth="10" defaultRowHeight="11.25"/>
  <cols>
    <col min="1" max="1" width="4.83203125" bestFit="1" customWidth="1"/>
    <col min="2" max="2" width="46.83203125" style="58" customWidth="1"/>
    <col min="4" max="4" width="13.1640625" customWidth="1"/>
    <col min="5" max="5" width="13.5" customWidth="1"/>
    <col min="6" max="6" width="13.6640625" customWidth="1"/>
    <col min="7" max="9" width="11.83203125" customWidth="1"/>
    <col min="10" max="14" width="11" customWidth="1"/>
    <col min="15" max="15" width="21.6640625" bestFit="1" customWidth="1"/>
    <col min="16" max="16" width="19.33203125" bestFit="1" customWidth="1"/>
    <col min="17" max="17" width="12.1640625" bestFit="1" customWidth="1"/>
  </cols>
  <sheetData>
    <row r="1" spans="1:21" ht="12.75">
      <c r="A1" s="1"/>
      <c r="B1" s="12" t="s">
        <v>1</v>
      </c>
      <c r="C1" s="12" t="s">
        <v>12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3"/>
      <c r="O1" s="3"/>
      <c r="P1" s="3"/>
      <c r="Q1" s="3"/>
      <c r="R1" s="3"/>
      <c r="S1" s="3"/>
      <c r="T1" s="3"/>
      <c r="U1" s="3"/>
    </row>
    <row r="2" spans="1:21" ht="15">
      <c r="A2" s="1"/>
      <c r="B2" s="2"/>
      <c r="C2" s="41" t="s">
        <v>70</v>
      </c>
      <c r="D2" s="41">
        <v>0</v>
      </c>
      <c r="E2" s="41">
        <v>1</v>
      </c>
      <c r="F2" s="41">
        <v>2</v>
      </c>
      <c r="G2" s="41">
        <v>3</v>
      </c>
      <c r="H2" s="41">
        <v>4</v>
      </c>
      <c r="I2" s="41">
        <v>5</v>
      </c>
      <c r="J2" s="41">
        <v>6</v>
      </c>
      <c r="K2" s="41">
        <v>7</v>
      </c>
      <c r="L2" s="41">
        <v>8</v>
      </c>
      <c r="M2" s="41">
        <v>9</v>
      </c>
      <c r="N2" s="41">
        <v>10</v>
      </c>
      <c r="O2" s="3"/>
      <c r="P2" s="3"/>
      <c r="Q2" s="3"/>
      <c r="R2" s="3"/>
      <c r="S2" s="3"/>
      <c r="T2" s="3"/>
      <c r="U2" s="3"/>
    </row>
    <row r="3" spans="1:21" ht="12.75">
      <c r="A3" s="1">
        <f t="shared" ref="A3:A75" si="0">ROW(B3)</f>
        <v>3</v>
      </c>
      <c r="B3" s="3"/>
      <c r="J3" s="5"/>
      <c r="K3" s="3"/>
      <c r="L3" s="1"/>
      <c r="M3" s="3"/>
      <c r="N3" s="3"/>
      <c r="O3" s="3"/>
      <c r="P3" s="3"/>
      <c r="Q3" s="3"/>
      <c r="R3" s="3"/>
      <c r="S3" s="3"/>
      <c r="T3" s="3"/>
      <c r="U3" s="3"/>
    </row>
    <row r="4" spans="1:21" ht="15">
      <c r="A4" s="1">
        <f t="shared" si="0"/>
        <v>4</v>
      </c>
      <c r="B4" s="112" t="s">
        <v>169</v>
      </c>
      <c r="C4" s="4"/>
      <c r="D4" s="1"/>
      <c r="E4" s="1"/>
      <c r="F4" s="1"/>
      <c r="G4" s="7"/>
      <c r="H4" s="7"/>
      <c r="I4" s="1"/>
      <c r="J4" s="1"/>
      <c r="K4" s="1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>
      <c r="A5" s="1">
        <f t="shared" si="0"/>
        <v>5</v>
      </c>
      <c r="B5" s="33" t="s">
        <v>184</v>
      </c>
      <c r="C5" s="4"/>
      <c r="D5" s="10">
        <v>45</v>
      </c>
      <c r="E5" s="1"/>
      <c r="F5" s="8"/>
      <c r="G5" s="7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">
      <c r="A6" s="1">
        <f t="shared" si="0"/>
        <v>6</v>
      </c>
      <c r="B6" s="6" t="s">
        <v>13</v>
      </c>
      <c r="C6" s="4"/>
      <c r="D6" s="10">
        <v>4</v>
      </c>
      <c r="E6" s="1"/>
      <c r="F6" s="11"/>
      <c r="G6" s="1"/>
      <c r="H6" s="3"/>
      <c r="I6" s="12"/>
      <c r="J6" s="13"/>
      <c r="K6" s="14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5">
      <c r="A7" s="1">
        <f t="shared" si="0"/>
        <v>7</v>
      </c>
      <c r="B7" s="33" t="s">
        <v>170</v>
      </c>
      <c r="C7" s="4"/>
      <c r="D7" s="10">
        <v>15</v>
      </c>
      <c r="E7" s="1"/>
      <c r="F7" s="15"/>
      <c r="G7" s="1"/>
      <c r="H7" s="3"/>
      <c r="I7" s="12"/>
      <c r="J7" s="13"/>
      <c r="K7" s="14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>
      <c r="A8" s="1">
        <f t="shared" si="0"/>
        <v>8</v>
      </c>
      <c r="B8" s="33" t="s">
        <v>171</v>
      </c>
      <c r="C8" s="4"/>
      <c r="D8" s="16">
        <v>0.35</v>
      </c>
      <c r="E8" s="1"/>
      <c r="F8" s="17"/>
      <c r="G8" s="19"/>
      <c r="H8" s="20"/>
      <c r="I8" s="21"/>
      <c r="J8" s="188">
        <f>+J297</f>
        <v>0.35</v>
      </c>
      <c r="K8" s="189">
        <f>+J8</f>
        <v>0.35</v>
      </c>
      <c r="L8" s="189">
        <f>+K8</f>
        <v>0.35</v>
      </c>
      <c r="M8" s="189">
        <f>+L8</f>
        <v>0.35</v>
      </c>
      <c r="N8" s="189">
        <f>+M8</f>
        <v>0.35</v>
      </c>
      <c r="O8" s="3"/>
      <c r="P8" s="3"/>
      <c r="Q8" s="3"/>
      <c r="R8" s="3"/>
      <c r="S8" s="3"/>
      <c r="T8" s="3"/>
      <c r="U8" s="3"/>
    </row>
    <row r="9" spans="1:21" ht="15">
      <c r="A9" s="1">
        <f t="shared" si="0"/>
        <v>9</v>
      </c>
      <c r="B9" s="33" t="s">
        <v>14</v>
      </c>
      <c r="C9" s="4"/>
      <c r="D9" s="10">
        <v>4</v>
      </c>
      <c r="E9" s="1"/>
      <c r="F9" s="17"/>
      <c r="G9" s="1"/>
      <c r="H9" s="1"/>
      <c r="I9" s="23"/>
      <c r="J9" s="19"/>
      <c r="K9" s="18"/>
      <c r="L9" s="19"/>
      <c r="M9" s="18"/>
      <c r="N9" s="19"/>
      <c r="O9" s="3"/>
      <c r="P9" s="3"/>
      <c r="Q9" s="3"/>
      <c r="R9" s="3"/>
      <c r="S9" s="3"/>
      <c r="T9" s="3"/>
      <c r="U9" s="3"/>
    </row>
    <row r="10" spans="1:21" ht="15">
      <c r="A10" s="1">
        <f t="shared" si="0"/>
        <v>10</v>
      </c>
      <c r="B10" s="103" t="s">
        <v>172</v>
      </c>
      <c r="C10" s="4"/>
      <c r="D10" s="10">
        <v>5</v>
      </c>
      <c r="E10" s="1"/>
      <c r="F10" s="17"/>
      <c r="G10" s="29"/>
      <c r="H10" s="30"/>
      <c r="I10" s="21"/>
      <c r="J10" s="7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>
      <c r="A11" s="1">
        <f t="shared" si="0"/>
        <v>11</v>
      </c>
      <c r="B11" s="33" t="s">
        <v>182</v>
      </c>
      <c r="C11" s="4"/>
      <c r="D11" s="10">
        <v>22</v>
      </c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30">
      <c r="A12" s="1">
        <f t="shared" si="0"/>
        <v>12</v>
      </c>
      <c r="B12" s="33" t="s">
        <v>173</v>
      </c>
      <c r="C12" s="4"/>
      <c r="D12" s="10">
        <v>24</v>
      </c>
      <c r="E12" s="32"/>
      <c r="F12" s="32"/>
      <c r="G12" s="32"/>
      <c r="H12" s="32"/>
      <c r="I12" s="32"/>
      <c r="J12" s="1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30">
      <c r="A13" s="1">
        <f t="shared" si="0"/>
        <v>13</v>
      </c>
      <c r="B13" s="33" t="s">
        <v>174</v>
      </c>
      <c r="D13" s="10">
        <v>5</v>
      </c>
      <c r="E13" s="32"/>
      <c r="F13" s="32"/>
      <c r="G13" s="32"/>
      <c r="H13" s="32"/>
      <c r="I13" s="32"/>
      <c r="J13" s="1"/>
      <c r="K13" s="34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5">
      <c r="A14" s="1">
        <f t="shared" si="0"/>
        <v>14</v>
      </c>
      <c r="B14" s="33" t="s">
        <v>175</v>
      </c>
      <c r="D14" s="10">
        <v>10</v>
      </c>
      <c r="E14" s="32"/>
      <c r="F14" s="32"/>
      <c r="G14" s="32"/>
      <c r="H14" s="32"/>
      <c r="I14" s="32"/>
      <c r="J14" s="1"/>
      <c r="K14" s="34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30">
      <c r="A15" s="1">
        <f t="shared" si="0"/>
        <v>15</v>
      </c>
      <c r="B15" s="33" t="s">
        <v>176</v>
      </c>
      <c r="D15" s="10">
        <v>1</v>
      </c>
      <c r="E15" s="32"/>
      <c r="F15" s="32"/>
      <c r="G15" s="32"/>
      <c r="H15" s="32"/>
      <c r="I15" s="32"/>
      <c r="J15" s="1"/>
      <c r="K15" s="34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5">
      <c r="A16" s="1">
        <f t="shared" si="0"/>
        <v>16</v>
      </c>
      <c r="B16" s="63" t="s">
        <v>441</v>
      </c>
      <c r="D16" s="72">
        <v>0.6</v>
      </c>
      <c r="E16" s="32"/>
      <c r="F16" s="32"/>
      <c r="G16" s="32"/>
      <c r="H16" s="32"/>
      <c r="I16" s="32"/>
      <c r="J16" s="1"/>
      <c r="K16" s="34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2" ht="45">
      <c r="A17" s="1">
        <f t="shared" si="0"/>
        <v>17</v>
      </c>
      <c r="B17" s="33" t="s">
        <v>177</v>
      </c>
      <c r="C17" s="2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2" ht="15">
      <c r="A18" s="1">
        <f t="shared" si="0"/>
        <v>18</v>
      </c>
      <c r="B18" s="33" t="s">
        <v>178</v>
      </c>
      <c r="C18" s="4"/>
      <c r="D18" s="1"/>
      <c r="E18" s="16">
        <v>0.06</v>
      </c>
      <c r="F18" s="16">
        <v>5.5E-2</v>
      </c>
      <c r="G18" s="16">
        <v>5.5E-2</v>
      </c>
      <c r="H18" s="16">
        <v>0.05</v>
      </c>
      <c r="I18" s="16">
        <v>4.4999999999999998E-2</v>
      </c>
      <c r="J18" s="16">
        <v>0.04</v>
      </c>
      <c r="K18" s="16">
        <v>3.5000000000000003E-2</v>
      </c>
      <c r="L18" s="16">
        <v>0.03</v>
      </c>
      <c r="M18" s="16">
        <v>0.03</v>
      </c>
      <c r="N18" s="16">
        <v>0.03</v>
      </c>
      <c r="O18" s="3"/>
      <c r="P18" s="3"/>
      <c r="Q18" s="3"/>
      <c r="R18" s="3"/>
      <c r="S18" s="3"/>
      <c r="T18" s="3"/>
      <c r="U18" s="3"/>
    </row>
    <row r="19" spans="1:22" ht="30">
      <c r="A19" s="1">
        <f t="shared" si="0"/>
        <v>19</v>
      </c>
      <c r="B19" s="33" t="s">
        <v>179</v>
      </c>
      <c r="C19" s="4"/>
      <c r="D19" s="1"/>
      <c r="E19" s="16">
        <v>8.0000000000000002E-3</v>
      </c>
      <c r="F19" s="16">
        <v>1.0999999999999999E-2</v>
      </c>
      <c r="G19" s="16">
        <v>0.01</v>
      </c>
      <c r="H19" s="16">
        <v>1.2E-2</v>
      </c>
      <c r="I19" s="16">
        <v>8.0000000000000002E-3</v>
      </c>
      <c r="J19" s="190">
        <f>+$J$267</f>
        <v>1.0249999999999981E-2</v>
      </c>
      <c r="K19" s="190">
        <f>+$J$267</f>
        <v>1.0249999999999981E-2</v>
      </c>
      <c r="L19" s="190">
        <f>+$J$267</f>
        <v>1.0249999999999981E-2</v>
      </c>
      <c r="M19" s="190">
        <f>+$J$267</f>
        <v>1.0249999999999981E-2</v>
      </c>
      <c r="N19" s="190">
        <f>+$J$267</f>
        <v>1.0249999999999981E-2</v>
      </c>
      <c r="O19" s="3"/>
      <c r="P19" s="3"/>
      <c r="Q19" s="3"/>
      <c r="R19" s="3"/>
      <c r="S19" s="3"/>
      <c r="T19" s="3"/>
      <c r="U19" s="3"/>
    </row>
    <row r="20" spans="1:22" ht="30">
      <c r="A20" s="1">
        <f t="shared" si="0"/>
        <v>20</v>
      </c>
      <c r="B20" s="33" t="s">
        <v>180</v>
      </c>
      <c r="C20" s="4"/>
      <c r="D20" s="1"/>
      <c r="E20" s="16">
        <v>5.0000000000000001E-3</v>
      </c>
      <c r="F20" s="16">
        <v>6.0000000000000001E-3</v>
      </c>
      <c r="G20" s="16">
        <v>7.0000000000000001E-3</v>
      </c>
      <c r="H20" s="16">
        <v>5.0000000000000001E-3</v>
      </c>
      <c r="I20" s="16">
        <v>4.0000000000000001E-3</v>
      </c>
      <c r="J20" s="190">
        <f>+$J$269</f>
        <v>5.4999999999999494E-3</v>
      </c>
      <c r="K20" s="188">
        <f>+$J$269</f>
        <v>5.4999999999999494E-3</v>
      </c>
      <c r="L20" s="188">
        <f>+$J$269</f>
        <v>5.4999999999999494E-3</v>
      </c>
      <c r="M20" s="188">
        <f>+$J$269</f>
        <v>5.4999999999999494E-3</v>
      </c>
      <c r="N20" s="188">
        <f>+$J$269</f>
        <v>5.4999999999999494E-3</v>
      </c>
      <c r="O20" s="3"/>
      <c r="P20" s="3"/>
      <c r="Q20" s="3"/>
      <c r="R20" s="3"/>
      <c r="S20" s="3"/>
      <c r="T20" s="3"/>
      <c r="U20" s="3"/>
    </row>
    <row r="21" spans="1:22" ht="30">
      <c r="A21" s="1">
        <f t="shared" si="0"/>
        <v>21</v>
      </c>
      <c r="B21" s="33" t="s">
        <v>181</v>
      </c>
      <c r="C21" s="4"/>
      <c r="D21" s="7"/>
      <c r="E21" s="16">
        <v>5.0000000000000001E-3</v>
      </c>
      <c r="F21" s="16">
        <v>0.01</v>
      </c>
      <c r="G21" s="16">
        <v>4.0000000000000001E-3</v>
      </c>
      <c r="H21" s="16">
        <v>8.0000000000000002E-3</v>
      </c>
      <c r="I21" s="16">
        <v>1.2E-2</v>
      </c>
      <c r="J21" s="190">
        <f>+$J$275</f>
        <v>8.5000000000000075E-3</v>
      </c>
      <c r="K21" s="188">
        <f>+$J$275</f>
        <v>8.5000000000000075E-3</v>
      </c>
      <c r="L21" s="188">
        <f>+$J$275</f>
        <v>8.5000000000000075E-3</v>
      </c>
      <c r="M21" s="188">
        <f>+$J$275</f>
        <v>8.5000000000000075E-3</v>
      </c>
      <c r="N21" s="188">
        <f>+$J$275</f>
        <v>8.5000000000000075E-3</v>
      </c>
      <c r="O21" s="3"/>
      <c r="P21" s="3"/>
      <c r="Q21" s="3"/>
      <c r="R21" s="3"/>
      <c r="S21" s="3"/>
      <c r="T21" s="3"/>
      <c r="U21" s="3"/>
    </row>
    <row r="22" spans="1:22" ht="30">
      <c r="A22" s="1">
        <f t="shared" si="0"/>
        <v>22</v>
      </c>
      <c r="B22" s="33" t="s">
        <v>183</v>
      </c>
      <c r="C22" s="4"/>
      <c r="D22" s="1"/>
      <c r="E22" s="16">
        <v>1.4999999999999999E-2</v>
      </c>
      <c r="F22" s="16">
        <v>0.02</v>
      </c>
      <c r="G22" s="16">
        <v>0.01</v>
      </c>
      <c r="H22" s="16">
        <v>1.0999999999999999E-2</v>
      </c>
      <c r="I22" s="16">
        <v>8.0000000000000002E-3</v>
      </c>
      <c r="J22" s="190">
        <f>+$J$277</f>
        <v>1.9120254993220231E-2</v>
      </c>
      <c r="K22" s="188">
        <f>+$J$277</f>
        <v>1.9120254993220231E-2</v>
      </c>
      <c r="L22" s="188">
        <f>+$J$277</f>
        <v>1.9120254993220231E-2</v>
      </c>
      <c r="M22" s="188">
        <f>+$J$277</f>
        <v>1.9120254993220231E-2</v>
      </c>
      <c r="N22" s="188">
        <f>+$J$277</f>
        <v>1.9120254993220231E-2</v>
      </c>
      <c r="O22" s="3"/>
      <c r="P22" s="3"/>
      <c r="Q22" s="3"/>
      <c r="R22" s="3"/>
      <c r="S22" s="3"/>
      <c r="T22" s="3"/>
      <c r="U22" s="3"/>
    </row>
    <row r="23" spans="1:22" ht="30">
      <c r="A23" s="168">
        <f t="shared" si="0"/>
        <v>23</v>
      </c>
      <c r="B23" s="169" t="s">
        <v>185</v>
      </c>
      <c r="C23" s="170"/>
      <c r="D23" s="168"/>
      <c r="E23" s="16">
        <v>2E-3</v>
      </c>
      <c r="F23" s="16">
        <v>3.0000000000000001E-3</v>
      </c>
      <c r="G23" s="16">
        <v>4.0000000000000001E-3</v>
      </c>
      <c r="H23" s="16">
        <v>1E-3</v>
      </c>
      <c r="I23" s="16">
        <v>5.0000000000000001E-3</v>
      </c>
      <c r="J23" s="191">
        <v>2E-3</v>
      </c>
      <c r="K23" s="191">
        <v>2E-3</v>
      </c>
      <c r="L23" s="191">
        <v>2E-3</v>
      </c>
      <c r="M23" s="191">
        <v>2E-3</v>
      </c>
      <c r="N23" s="191">
        <v>2E-3</v>
      </c>
      <c r="O23" s="3"/>
      <c r="P23" s="3"/>
      <c r="Q23" s="3"/>
      <c r="R23" s="3"/>
      <c r="S23" s="3"/>
      <c r="T23" s="3"/>
      <c r="U23" s="3"/>
    </row>
    <row r="24" spans="1:22" ht="30">
      <c r="A24" s="1">
        <f t="shared" si="0"/>
        <v>24</v>
      </c>
      <c r="B24" s="33" t="s">
        <v>186</v>
      </c>
      <c r="C24" s="4"/>
      <c r="D24" s="18">
        <f>AVERAGE(E24:I24)</f>
        <v>1.2199999999999999E-2</v>
      </c>
      <c r="E24" s="16">
        <v>0</v>
      </c>
      <c r="F24" s="16">
        <v>8.0000000000000002E-3</v>
      </c>
      <c r="G24" s="16">
        <v>1.7000000000000001E-2</v>
      </c>
      <c r="H24" s="16">
        <v>1.4999999999999999E-2</v>
      </c>
      <c r="I24" s="16">
        <v>2.1000000000000001E-2</v>
      </c>
      <c r="J24" s="191">
        <v>0.03</v>
      </c>
      <c r="K24" s="191">
        <v>0.03</v>
      </c>
      <c r="L24" s="191">
        <v>0.03</v>
      </c>
      <c r="M24" s="191">
        <v>0.04</v>
      </c>
      <c r="N24" s="191">
        <v>0.04</v>
      </c>
      <c r="O24" s="3"/>
      <c r="P24" s="3"/>
      <c r="Q24" s="3"/>
      <c r="R24" s="3"/>
      <c r="S24" s="3"/>
      <c r="T24" s="3"/>
      <c r="U24" s="3"/>
    </row>
    <row r="25" spans="1:22" ht="15">
      <c r="A25" s="1">
        <f t="shared" si="0"/>
        <v>25</v>
      </c>
      <c r="B25" s="33" t="s">
        <v>187</v>
      </c>
      <c r="C25" s="4"/>
      <c r="D25" s="1"/>
      <c r="E25" s="16">
        <v>0.03</v>
      </c>
      <c r="F25" s="16">
        <v>0.03</v>
      </c>
      <c r="G25" s="16">
        <v>0.03</v>
      </c>
      <c r="H25" s="16">
        <v>0.03</v>
      </c>
      <c r="I25" s="16">
        <v>0.03</v>
      </c>
      <c r="J25" s="188">
        <f>+$J$278</f>
        <v>3.0000000000000027E-2</v>
      </c>
      <c r="K25" s="188">
        <f>+$J$278</f>
        <v>3.0000000000000027E-2</v>
      </c>
      <c r="L25" s="188">
        <f>+$J$278</f>
        <v>3.0000000000000027E-2</v>
      </c>
      <c r="M25" s="188">
        <f>+$J$278</f>
        <v>3.0000000000000027E-2</v>
      </c>
      <c r="N25" s="188">
        <f>+$J$278</f>
        <v>3.0000000000000027E-2</v>
      </c>
      <c r="O25" s="3"/>
      <c r="P25" s="3"/>
      <c r="Q25" s="3"/>
      <c r="R25" s="3"/>
      <c r="S25" s="3"/>
      <c r="T25" s="3"/>
      <c r="U25" s="3"/>
    </row>
    <row r="26" spans="1:22" ht="30">
      <c r="A26" s="1">
        <f t="shared" si="0"/>
        <v>26</v>
      </c>
      <c r="B26" s="33" t="s">
        <v>188</v>
      </c>
      <c r="C26" s="4"/>
      <c r="D26" s="1"/>
      <c r="E26" s="26">
        <v>0.05</v>
      </c>
      <c r="F26" s="26">
        <v>4.9200000000000001E-2</v>
      </c>
      <c r="G26" s="26">
        <v>5.2999999999999999E-2</v>
      </c>
      <c r="H26" s="26">
        <v>5.1999999999999998E-2</v>
      </c>
      <c r="I26" s="26">
        <v>4.9000000000000002E-2</v>
      </c>
      <c r="J26" s="190">
        <f>+$J$286</f>
        <v>5.076116395809005E-2</v>
      </c>
      <c r="K26" s="190">
        <f>+J26</f>
        <v>5.076116395809005E-2</v>
      </c>
      <c r="L26" s="190">
        <f t="shared" ref="L26:N26" si="1">+K26</f>
        <v>5.076116395809005E-2</v>
      </c>
      <c r="M26" s="190">
        <f t="shared" si="1"/>
        <v>5.076116395809005E-2</v>
      </c>
      <c r="N26" s="190">
        <f t="shared" si="1"/>
        <v>5.076116395809005E-2</v>
      </c>
      <c r="O26" s="3"/>
      <c r="P26" s="3"/>
      <c r="Q26" s="3"/>
      <c r="R26" s="3"/>
      <c r="S26" s="3"/>
      <c r="T26" s="3"/>
      <c r="U26" s="3"/>
    </row>
    <row r="27" spans="1:22" ht="27" customHeight="1">
      <c r="A27" s="1">
        <f t="shared" si="0"/>
        <v>27</v>
      </c>
      <c r="B27" s="3" t="s">
        <v>327</v>
      </c>
      <c r="C27" s="28"/>
      <c r="D27" s="3"/>
      <c r="E27" s="26">
        <v>-4.060000000000008E-3</v>
      </c>
      <c r="F27" s="26">
        <v>-4.332500000000003E-3</v>
      </c>
      <c r="G27" s="26">
        <v>-4.8600000000000032E-3</v>
      </c>
      <c r="H27" s="26">
        <v>-3.0249999999999999E-3</v>
      </c>
      <c r="I27" s="26">
        <v>-3.2949999999999924E-3</v>
      </c>
      <c r="J27" s="190">
        <f>+$J$296</f>
        <v>-4.0725000000000023E-3</v>
      </c>
      <c r="K27" s="190">
        <f>+$J$296</f>
        <v>-4.0725000000000023E-3</v>
      </c>
      <c r="L27" s="190">
        <f>+$J$296</f>
        <v>-4.0725000000000023E-3</v>
      </c>
      <c r="M27" s="190">
        <f>+$J$296</f>
        <v>-4.0725000000000023E-3</v>
      </c>
      <c r="N27" s="190">
        <f>+$J$296</f>
        <v>-4.0725000000000023E-3</v>
      </c>
      <c r="O27" s="3"/>
      <c r="P27" s="3"/>
      <c r="Q27" s="3"/>
      <c r="R27" s="3"/>
      <c r="S27" s="3"/>
      <c r="T27" s="3"/>
      <c r="U27" s="3"/>
    </row>
    <row r="28" spans="1:22" ht="15">
      <c r="A28" s="1">
        <f>ROW(B28)</f>
        <v>28</v>
      </c>
      <c r="B28" s="33" t="s">
        <v>19</v>
      </c>
      <c r="C28" s="4"/>
      <c r="D28" s="1"/>
      <c r="E28" s="26">
        <f>((1+E18)*(1+E25)-1)</f>
        <v>9.1800000000000104E-2</v>
      </c>
      <c r="F28" s="26">
        <f>((1+F18)*(1+F25)-1)</f>
        <v>8.6649999999999894E-2</v>
      </c>
      <c r="G28" s="26">
        <f>((1+G18)*(1+G25)-1)</f>
        <v>8.6649999999999894E-2</v>
      </c>
      <c r="H28" s="26">
        <f>((1+H18)*(1+H25)-1)</f>
        <v>8.1500000000000128E-2</v>
      </c>
      <c r="I28" s="26">
        <v>7.6349999999999918E-2</v>
      </c>
      <c r="O28" s="3" t="str">
        <f>[4]!FormDisp(J28)</f>
        <v/>
      </c>
      <c r="P28" s="3"/>
      <c r="Q28" s="3"/>
      <c r="R28" s="3"/>
      <c r="S28" s="3"/>
      <c r="T28" s="3"/>
      <c r="U28" s="3"/>
    </row>
    <row r="29" spans="1:22" ht="27" customHeight="1" thickBot="1">
      <c r="A29" s="1">
        <f t="shared" si="0"/>
        <v>29</v>
      </c>
      <c r="B29" s="112" t="s">
        <v>189</v>
      </c>
      <c r="C29" s="41" t="s">
        <v>70</v>
      </c>
      <c r="D29" s="41">
        <v>0</v>
      </c>
      <c r="E29" s="41">
        <v>1</v>
      </c>
      <c r="F29" s="41">
        <v>2</v>
      </c>
      <c r="G29" s="41">
        <v>3</v>
      </c>
      <c r="H29" s="41">
        <v>4</v>
      </c>
      <c r="I29" s="41">
        <v>5</v>
      </c>
      <c r="J29" s="1"/>
      <c r="K29" s="1"/>
      <c r="L29" s="3"/>
      <c r="M29" s="3"/>
      <c r="N29" s="3"/>
      <c r="O29" s="3"/>
      <c r="P29" s="3"/>
      <c r="Q29" s="3"/>
      <c r="R29" s="16">
        <v>0.04</v>
      </c>
      <c r="S29" s="16">
        <v>3.5000000000000003E-2</v>
      </c>
      <c r="T29" s="16">
        <v>0.03</v>
      </c>
      <c r="U29" s="16">
        <v>0.03</v>
      </c>
      <c r="V29" s="16">
        <v>0.03</v>
      </c>
    </row>
    <row r="30" spans="1:22" ht="27" customHeight="1" thickBot="1">
      <c r="A30" s="1">
        <f t="shared" si="0"/>
        <v>30</v>
      </c>
      <c r="B30" s="33" t="s">
        <v>190</v>
      </c>
      <c r="C30" s="4"/>
      <c r="D30" s="1"/>
      <c r="E30" s="16">
        <v>0.03</v>
      </c>
      <c r="F30" s="16">
        <v>2.7E-2</v>
      </c>
      <c r="G30" s="16">
        <v>3.1E-2</v>
      </c>
      <c r="H30" s="16">
        <v>3.2000000000000001E-2</v>
      </c>
      <c r="I30" s="16">
        <v>2.9000000000000001E-2</v>
      </c>
      <c r="O30" s="3" t="str">
        <f>[4]!FormDisp(N30)</f>
        <v/>
      </c>
      <c r="P30" s="3"/>
      <c r="Q30" s="3"/>
      <c r="R30" s="171">
        <v>1.03E-2</v>
      </c>
      <c r="S30" s="172">
        <v>1.03E-2</v>
      </c>
      <c r="T30" s="172">
        <v>1.03E-2</v>
      </c>
      <c r="U30" s="172">
        <v>1.03E-2</v>
      </c>
      <c r="V30" s="172">
        <v>1.03E-2</v>
      </c>
    </row>
    <row r="31" spans="1:22" ht="27" customHeight="1" thickBot="1">
      <c r="A31" s="1">
        <f t="shared" si="0"/>
        <v>31</v>
      </c>
      <c r="B31" s="33" t="s">
        <v>191</v>
      </c>
      <c r="C31" s="4"/>
      <c r="D31" s="1"/>
      <c r="E31" s="16">
        <v>8.3333333333333301E-2</v>
      </c>
      <c r="F31" s="16">
        <v>0.08</v>
      </c>
      <c r="G31" s="16">
        <v>0.09</v>
      </c>
      <c r="H31" s="16">
        <v>8.5000000000000006E-2</v>
      </c>
      <c r="I31" s="16">
        <v>8.4000000000000005E-2</v>
      </c>
      <c r="J31" s="190">
        <f>+J251</f>
        <v>8.4852623901111021E-2</v>
      </c>
      <c r="K31" s="192">
        <f t="shared" ref="K31:N33" si="2">+J31</f>
        <v>8.4852623901111021E-2</v>
      </c>
      <c r="L31" s="192">
        <f t="shared" si="2"/>
        <v>8.4852623901111021E-2</v>
      </c>
      <c r="M31" s="192">
        <f t="shared" si="2"/>
        <v>8.4852623901111021E-2</v>
      </c>
      <c r="N31" s="192">
        <f t="shared" si="2"/>
        <v>8.4852623901111021E-2</v>
      </c>
      <c r="O31" s="3"/>
      <c r="P31" s="3"/>
      <c r="Q31" s="3"/>
      <c r="R31" s="173">
        <v>1.2200000000000001E-2</v>
      </c>
      <c r="S31" s="174">
        <v>1.2200000000000001E-2</v>
      </c>
      <c r="T31" s="174">
        <v>1.2200000000000001E-2</v>
      </c>
      <c r="U31" s="174">
        <v>1.2200000000000001E-2</v>
      </c>
      <c r="V31" s="174">
        <v>1.2200000000000001E-2</v>
      </c>
    </row>
    <row r="32" spans="1:22" ht="27" customHeight="1" thickBot="1">
      <c r="A32" s="1">
        <f t="shared" si="0"/>
        <v>32</v>
      </c>
      <c r="B32" s="33" t="s">
        <v>192</v>
      </c>
      <c r="C32" s="4"/>
      <c r="D32" s="1"/>
      <c r="E32" s="16">
        <v>0.06</v>
      </c>
      <c r="F32" s="16">
        <v>0.06</v>
      </c>
      <c r="G32" s="16">
        <v>0.04</v>
      </c>
      <c r="H32" s="16">
        <v>7.0000000000000007E-2</v>
      </c>
      <c r="I32" s="16">
        <v>0.03</v>
      </c>
      <c r="J32" s="190">
        <f>+J253</f>
        <v>5.2000000000000005E-2</v>
      </c>
      <c r="K32" s="188">
        <f t="shared" si="2"/>
        <v>5.2000000000000005E-2</v>
      </c>
      <c r="L32" s="188">
        <f t="shared" si="2"/>
        <v>5.2000000000000005E-2</v>
      </c>
      <c r="M32" s="188">
        <f t="shared" si="2"/>
        <v>5.2000000000000005E-2</v>
      </c>
      <c r="N32" s="188">
        <f t="shared" si="2"/>
        <v>5.2000000000000005E-2</v>
      </c>
      <c r="O32" s="3"/>
      <c r="P32" s="3"/>
      <c r="Q32" s="3"/>
      <c r="R32" s="175">
        <v>2.5700000000000001E-2</v>
      </c>
      <c r="S32" s="176">
        <v>2.5700000000000001E-2</v>
      </c>
      <c r="T32" s="176">
        <v>2.5700000000000001E-2</v>
      </c>
      <c r="U32" s="176">
        <v>2.5700000000000001E-2</v>
      </c>
      <c r="V32" s="176">
        <v>2.5700000000000001E-2</v>
      </c>
    </row>
    <row r="33" spans="1:22" ht="27" customHeight="1">
      <c r="A33" s="1">
        <f t="shared" si="0"/>
        <v>33</v>
      </c>
      <c r="B33" s="33" t="s">
        <v>193</v>
      </c>
      <c r="C33" s="4"/>
      <c r="D33" s="1"/>
      <c r="E33" s="16">
        <v>0.1</v>
      </c>
      <c r="F33" s="16">
        <v>0.11</v>
      </c>
      <c r="G33" s="16">
        <v>0.12</v>
      </c>
      <c r="H33" s="16">
        <v>7.0000000000000007E-2</v>
      </c>
      <c r="I33" s="16">
        <v>0.08</v>
      </c>
      <c r="J33" s="190">
        <f>+J258</f>
        <v>9.599999999999996E-2</v>
      </c>
      <c r="K33" s="189">
        <f t="shared" si="2"/>
        <v>9.599999999999996E-2</v>
      </c>
      <c r="L33" s="189">
        <f t="shared" si="2"/>
        <v>9.599999999999996E-2</v>
      </c>
      <c r="M33" s="189">
        <f t="shared" si="2"/>
        <v>9.599999999999996E-2</v>
      </c>
      <c r="N33" s="189">
        <f t="shared" si="2"/>
        <v>9.599999999999996E-2</v>
      </c>
      <c r="O33" s="3"/>
      <c r="P33" s="3"/>
      <c r="Q33" s="3"/>
      <c r="R33" s="19">
        <f>+(1+R29)*(1+R32)-1</f>
        <v>6.6728000000000121E-2</v>
      </c>
      <c r="S33" s="19">
        <f>+(1+S29)*(1+S32)-1</f>
        <v>6.1599500000000029E-2</v>
      </c>
      <c r="T33" s="19">
        <f>+(1+T29)*(1+T32)-1</f>
        <v>5.647100000000016E-2</v>
      </c>
      <c r="U33" s="19">
        <f>+(1+U29)*(1+U32)-1</f>
        <v>5.647100000000016E-2</v>
      </c>
      <c r="V33" s="19">
        <f>+(1+V29)*(1+V32)-1</f>
        <v>5.647100000000016E-2</v>
      </c>
    </row>
    <row r="34" spans="1:22" ht="27" customHeight="1">
      <c r="A34" s="1">
        <f t="shared" si="0"/>
        <v>34</v>
      </c>
      <c r="B34" s="33" t="s">
        <v>194</v>
      </c>
      <c r="C34" s="4"/>
      <c r="D34" s="1"/>
      <c r="E34" s="16">
        <v>0.72</v>
      </c>
      <c r="F34" s="16">
        <v>0.73</v>
      </c>
      <c r="G34" s="16">
        <v>0.77</v>
      </c>
      <c r="H34" s="16">
        <v>0.65</v>
      </c>
      <c r="I34" s="16">
        <v>0.65</v>
      </c>
      <c r="J34" s="190">
        <f>+J262</f>
        <v>0.71792097976637725</v>
      </c>
      <c r="K34" s="189">
        <f>+J34</f>
        <v>0.71792097976637725</v>
      </c>
      <c r="L34" s="189">
        <f t="shared" ref="L34:N35" si="3">+K34</f>
        <v>0.71792097976637725</v>
      </c>
      <c r="M34" s="189">
        <f t="shared" si="3"/>
        <v>0.71792097976637725</v>
      </c>
      <c r="N34" s="189">
        <f t="shared" si="3"/>
        <v>0.71792097976637725</v>
      </c>
      <c r="O34" s="3"/>
      <c r="P34" s="3"/>
      <c r="Q34" s="3"/>
      <c r="R34" s="3"/>
      <c r="S34" s="3"/>
      <c r="T34" s="3"/>
      <c r="U34" s="3"/>
    </row>
    <row r="35" spans="1:22" ht="15" customHeight="1">
      <c r="A35" s="1">
        <f t="shared" si="0"/>
        <v>35</v>
      </c>
      <c r="B35" s="33" t="s">
        <v>195</v>
      </c>
      <c r="C35" s="4"/>
      <c r="D35" s="1"/>
      <c r="E35" s="22">
        <v>10</v>
      </c>
      <c r="F35" s="22">
        <v>11</v>
      </c>
      <c r="G35" s="22">
        <v>12</v>
      </c>
      <c r="H35" s="22">
        <v>13</v>
      </c>
      <c r="I35" s="22">
        <v>14</v>
      </c>
      <c r="J35" s="190">
        <f>+J247</f>
        <v>2.1620613417270992E-2</v>
      </c>
      <c r="K35" s="193">
        <f>+J35</f>
        <v>2.1620613417270992E-2</v>
      </c>
      <c r="L35" s="189">
        <f t="shared" si="3"/>
        <v>2.1620613417270992E-2</v>
      </c>
      <c r="M35" s="189">
        <f t="shared" si="3"/>
        <v>2.1620613417270992E-2</v>
      </c>
      <c r="N35" s="189">
        <f t="shared" si="3"/>
        <v>2.1620613417270992E-2</v>
      </c>
      <c r="O35" s="3"/>
      <c r="P35" s="3"/>
      <c r="Q35" s="3"/>
      <c r="R35" s="3"/>
      <c r="S35" s="3"/>
      <c r="T35" s="3"/>
      <c r="U35" s="3"/>
    </row>
    <row r="36" spans="1:22" ht="75">
      <c r="A36" s="1">
        <f t="shared" si="0"/>
        <v>36</v>
      </c>
      <c r="B36" s="33" t="s">
        <v>196</v>
      </c>
      <c r="C36" s="4"/>
      <c r="D36" s="10">
        <v>13</v>
      </c>
      <c r="E36" s="26"/>
      <c r="F36" s="26"/>
      <c r="G36" s="26"/>
      <c r="H36" s="26"/>
      <c r="I36" s="26"/>
      <c r="J36" s="10"/>
      <c r="K36" s="18"/>
      <c r="L36" s="18"/>
      <c r="M36" s="18"/>
      <c r="N36" s="18"/>
      <c r="O36" s="3"/>
      <c r="P36" s="3"/>
      <c r="Q36" s="3"/>
      <c r="R36" s="3"/>
      <c r="S36" s="3"/>
      <c r="T36" s="3"/>
      <c r="U36" s="3"/>
    </row>
    <row r="37" spans="1:22" ht="15">
      <c r="A37" s="1">
        <f t="shared" si="0"/>
        <v>37</v>
      </c>
      <c r="B37" s="63" t="s">
        <v>442</v>
      </c>
      <c r="C37" s="4"/>
      <c r="D37" s="10"/>
      <c r="E37" s="26"/>
      <c r="F37" s="26"/>
      <c r="G37" s="26"/>
      <c r="H37" s="26"/>
      <c r="I37" s="194">
        <v>59.133201755031834</v>
      </c>
      <c r="J37" s="10"/>
      <c r="K37" s="18"/>
      <c r="L37" s="18"/>
      <c r="M37" s="18"/>
      <c r="N37" s="18"/>
      <c r="O37" s="3"/>
      <c r="P37" s="3"/>
      <c r="Q37" s="3"/>
      <c r="R37" s="3"/>
      <c r="S37" s="3"/>
      <c r="T37" s="3"/>
      <c r="U37" s="3"/>
    </row>
    <row r="38" spans="1:22" ht="15">
      <c r="A38" s="1">
        <f t="shared" si="0"/>
        <v>38</v>
      </c>
      <c r="B38" s="33" t="s">
        <v>197</v>
      </c>
      <c r="C38" s="4"/>
      <c r="D38" s="3"/>
      <c r="E38" s="26">
        <v>0.04</v>
      </c>
      <c r="F38" s="31">
        <f>+E38</f>
        <v>0.04</v>
      </c>
      <c r="G38" s="31">
        <f>+F38</f>
        <v>0.04</v>
      </c>
      <c r="H38" s="31">
        <f>+G38</f>
        <v>0.04</v>
      </c>
      <c r="I38" s="31">
        <v>0.04</v>
      </c>
      <c r="K38" s="31"/>
      <c r="L38" s="31"/>
      <c r="M38" s="31"/>
      <c r="N38" s="31"/>
      <c r="O38" s="3"/>
      <c r="P38" s="3"/>
      <c r="Q38" s="3"/>
      <c r="R38" s="3"/>
      <c r="S38" s="3"/>
      <c r="T38" s="3"/>
      <c r="U38" s="3"/>
    </row>
    <row r="39" spans="1:22" ht="15">
      <c r="A39" s="1">
        <f t="shared" si="0"/>
        <v>39</v>
      </c>
      <c r="B39" s="33" t="s">
        <v>198</v>
      </c>
      <c r="C39" s="4"/>
      <c r="E39" s="3"/>
      <c r="F39" s="3"/>
      <c r="G39" s="3"/>
      <c r="H39" s="3"/>
      <c r="I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2" ht="15">
      <c r="A40" s="1">
        <f t="shared" si="0"/>
        <v>40</v>
      </c>
      <c r="B40" s="33" t="s">
        <v>199</v>
      </c>
      <c r="C40" s="4"/>
      <c r="D40" s="10">
        <v>7</v>
      </c>
      <c r="E40" s="1"/>
      <c r="F40" s="1"/>
      <c r="G40" s="1"/>
      <c r="H40" s="1"/>
      <c r="I40" s="1"/>
      <c r="J40" s="1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2" ht="30">
      <c r="A41" s="1">
        <f t="shared" si="0"/>
        <v>41</v>
      </c>
      <c r="B41" s="33" t="s">
        <v>200</v>
      </c>
      <c r="C41" s="4"/>
      <c r="D41" s="10">
        <v>51</v>
      </c>
      <c r="E41" s="1"/>
      <c r="F41" s="1"/>
      <c r="G41" s="1"/>
      <c r="H41" s="1"/>
      <c r="I41" s="1"/>
      <c r="J41" s="1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2" ht="45">
      <c r="A42" s="1">
        <f t="shared" si="0"/>
        <v>42</v>
      </c>
      <c r="B42" s="33" t="s">
        <v>201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3"/>
      <c r="P42" s="3"/>
      <c r="Q42" s="3"/>
      <c r="R42" s="3"/>
      <c r="S42" s="3"/>
      <c r="T42" s="3"/>
      <c r="U42" s="3"/>
    </row>
    <row r="43" spans="1:22" ht="30">
      <c r="A43" s="1">
        <f t="shared" si="0"/>
        <v>43</v>
      </c>
      <c r="B43" s="112" t="s">
        <v>202</v>
      </c>
      <c r="C43" s="41" t="s">
        <v>70</v>
      </c>
      <c r="D43" s="41">
        <v>0</v>
      </c>
      <c r="E43" s="41">
        <v>1</v>
      </c>
      <c r="F43" s="41">
        <v>2</v>
      </c>
      <c r="G43" s="41">
        <v>3</v>
      </c>
      <c r="H43" s="41">
        <v>4</v>
      </c>
      <c r="I43" s="41">
        <v>5</v>
      </c>
      <c r="J43" s="75"/>
      <c r="K43" s="75"/>
      <c r="L43" s="31"/>
      <c r="M43" s="3"/>
      <c r="N43" s="3"/>
      <c r="O43" s="3" t="str">
        <f>[4]!FormDisp(J43)</f>
        <v/>
      </c>
      <c r="P43" s="3"/>
      <c r="Q43" s="3"/>
      <c r="R43" s="3"/>
      <c r="S43" s="3"/>
      <c r="T43" s="3"/>
      <c r="U43" s="3"/>
    </row>
    <row r="44" spans="1:22" ht="15">
      <c r="A44" s="1">
        <f t="shared" si="0"/>
        <v>44</v>
      </c>
      <c r="B44" s="33" t="s">
        <v>203</v>
      </c>
      <c r="C44" s="4"/>
      <c r="D44" s="1"/>
      <c r="E44" s="138">
        <f t="shared" ref="E44:N48" si="4">(1+E$18)*(1+E19)-1</f>
        <v>6.8480000000000096E-2</v>
      </c>
      <c r="F44" s="138">
        <f t="shared" si="4"/>
        <v>6.6604999999999803E-2</v>
      </c>
      <c r="G44" s="138">
        <f t="shared" si="4"/>
        <v>6.5549999999999997E-2</v>
      </c>
      <c r="H44" s="138">
        <f t="shared" si="4"/>
        <v>6.2599999999999989E-2</v>
      </c>
      <c r="I44" s="138">
        <v>5.3359999999999852E-2</v>
      </c>
      <c r="J44" s="138">
        <f t="shared" si="4"/>
        <v>5.0660000000000149E-2</v>
      </c>
      <c r="K44" s="138">
        <f t="shared" si="4"/>
        <v>4.5608749999999976E-2</v>
      </c>
      <c r="L44" s="138">
        <f t="shared" si="4"/>
        <v>4.0557500000000024E-2</v>
      </c>
      <c r="M44" s="138">
        <f t="shared" si="4"/>
        <v>4.0557500000000024E-2</v>
      </c>
      <c r="N44" s="138">
        <f t="shared" si="4"/>
        <v>4.0557500000000024E-2</v>
      </c>
      <c r="O44" s="3" t="str">
        <f>[4]!FormDisp(J44)</f>
        <v>=(1+J$18)*(1+J19)-1</v>
      </c>
      <c r="P44" s="3"/>
      <c r="Q44" s="3"/>
      <c r="R44" s="3"/>
      <c r="S44" s="3"/>
      <c r="T44" s="3"/>
      <c r="U44" s="3"/>
    </row>
    <row r="45" spans="1:22" ht="15">
      <c r="A45" s="1">
        <f t="shared" si="0"/>
        <v>45</v>
      </c>
      <c r="B45" s="33" t="s">
        <v>204</v>
      </c>
      <c r="C45" s="4"/>
      <c r="D45" s="1"/>
      <c r="E45" s="138">
        <f t="shared" si="4"/>
        <v>6.5299999999999914E-2</v>
      </c>
      <c r="F45" s="138">
        <f t="shared" si="4"/>
        <v>6.1329999999999885E-2</v>
      </c>
      <c r="G45" s="138">
        <f t="shared" si="4"/>
        <v>6.2384999999999913E-2</v>
      </c>
      <c r="H45" s="138">
        <f t="shared" si="4"/>
        <v>5.5250000000000021E-2</v>
      </c>
      <c r="I45" s="138">
        <v>4.9180000000000001E-2</v>
      </c>
      <c r="J45" s="138">
        <f t="shared" si="4"/>
        <v>4.5720000000000205E-2</v>
      </c>
      <c r="K45" s="138">
        <f t="shared" si="4"/>
        <v>4.069250000000002E-2</v>
      </c>
      <c r="L45" s="138">
        <f t="shared" si="4"/>
        <v>3.5665000000000058E-2</v>
      </c>
      <c r="M45" s="138">
        <f t="shared" si="4"/>
        <v>3.5665000000000058E-2</v>
      </c>
      <c r="N45" s="138">
        <f t="shared" si="4"/>
        <v>3.5665000000000058E-2</v>
      </c>
      <c r="O45" s="3" t="str">
        <f>[4]!FormDisp(J45)</f>
        <v>=(1+J$18)*(1+J20)-1</v>
      </c>
      <c r="P45" s="3"/>
      <c r="Q45" s="3"/>
      <c r="R45" s="3"/>
      <c r="S45" s="3"/>
      <c r="T45" s="3"/>
      <c r="U45" s="3"/>
    </row>
    <row r="46" spans="1:22" ht="15">
      <c r="A46" s="1">
        <f t="shared" si="0"/>
        <v>46</v>
      </c>
      <c r="B46" s="63" t="s">
        <v>205</v>
      </c>
      <c r="C46" s="4"/>
      <c r="D46" s="1"/>
      <c r="E46" s="138">
        <f t="shared" si="4"/>
        <v>6.5299999999999914E-2</v>
      </c>
      <c r="F46" s="138">
        <f t="shared" si="4"/>
        <v>6.5549999999999997E-2</v>
      </c>
      <c r="G46" s="138">
        <f t="shared" si="4"/>
        <v>5.922000000000005E-2</v>
      </c>
      <c r="H46" s="138">
        <f t="shared" si="4"/>
        <v>5.8400000000000007E-2</v>
      </c>
      <c r="I46" s="138">
        <v>5.7539999999999925E-2</v>
      </c>
      <c r="J46" s="138">
        <f t="shared" si="4"/>
        <v>4.8839999999999995E-2</v>
      </c>
      <c r="K46" s="138">
        <f t="shared" si="4"/>
        <v>4.3797499999999934E-2</v>
      </c>
      <c r="L46" s="138">
        <f t="shared" si="4"/>
        <v>3.8754999999999873E-2</v>
      </c>
      <c r="M46" s="138">
        <f t="shared" si="4"/>
        <v>3.8754999999999873E-2</v>
      </c>
      <c r="N46" s="138">
        <f t="shared" si="4"/>
        <v>3.8754999999999873E-2</v>
      </c>
      <c r="O46" s="3" t="str">
        <f>[4]!FormDisp(J46)</f>
        <v>=(1+J$18)*(1+J21)-1</v>
      </c>
      <c r="P46" s="3"/>
      <c r="Q46" s="3"/>
      <c r="R46" s="3"/>
      <c r="S46" s="3"/>
      <c r="T46" s="3"/>
      <c r="U46" s="3"/>
    </row>
    <row r="47" spans="1:22" ht="15">
      <c r="A47" s="1">
        <f t="shared" si="0"/>
        <v>47</v>
      </c>
      <c r="B47" s="6" t="s">
        <v>206</v>
      </c>
      <c r="C47" s="4"/>
      <c r="D47" s="1"/>
      <c r="E47" s="138">
        <f t="shared" si="4"/>
        <v>7.5899999999999856E-2</v>
      </c>
      <c r="F47" s="138">
        <f t="shared" si="4"/>
        <v>7.6100000000000056E-2</v>
      </c>
      <c r="G47" s="138">
        <f t="shared" si="4"/>
        <v>6.5549999999999997E-2</v>
      </c>
      <c r="H47" s="138">
        <f t="shared" si="4"/>
        <v>6.1549999999999994E-2</v>
      </c>
      <c r="I47" s="138">
        <v>5.3359999999999852E-2</v>
      </c>
      <c r="J47" s="138">
        <f t="shared" si="4"/>
        <v>5.9885065192949227E-2</v>
      </c>
      <c r="K47" s="138">
        <f t="shared" si="4"/>
        <v>5.4789463917982895E-2</v>
      </c>
      <c r="L47" s="138">
        <f t="shared" si="4"/>
        <v>4.9693862643017006E-2</v>
      </c>
      <c r="M47" s="138">
        <f t="shared" si="4"/>
        <v>4.9693862643017006E-2</v>
      </c>
      <c r="N47" s="138">
        <f t="shared" si="4"/>
        <v>4.9693862643017006E-2</v>
      </c>
      <c r="O47" s="3" t="str">
        <f>[4]!FormDisp(J47)</f>
        <v>=(1+J$18)*(1+J22)-1</v>
      </c>
      <c r="P47" s="3"/>
      <c r="Q47" s="3"/>
      <c r="R47" s="3"/>
      <c r="S47" s="3"/>
      <c r="T47" s="3"/>
      <c r="U47" s="3"/>
    </row>
    <row r="48" spans="1:22" ht="30">
      <c r="A48" s="168">
        <f t="shared" si="0"/>
        <v>48</v>
      </c>
      <c r="B48" s="169" t="s">
        <v>207</v>
      </c>
      <c r="C48" s="170"/>
      <c r="D48" s="168"/>
      <c r="E48" s="182">
        <f t="shared" si="4"/>
        <v>6.2119999999999953E-2</v>
      </c>
      <c r="F48" s="182">
        <f t="shared" si="4"/>
        <v>5.81649999999998E-2</v>
      </c>
      <c r="G48" s="182">
        <f t="shared" si="4"/>
        <v>5.922000000000005E-2</v>
      </c>
      <c r="H48" s="182">
        <f t="shared" si="4"/>
        <v>5.105000000000004E-2</v>
      </c>
      <c r="I48" s="182">
        <v>5.0224999999999742E-2</v>
      </c>
      <c r="J48" s="182">
        <f t="shared" si="4"/>
        <v>4.2080000000000117E-2</v>
      </c>
      <c r="K48" s="182">
        <f t="shared" si="4"/>
        <v>3.7069999999999936E-2</v>
      </c>
      <c r="L48" s="182">
        <f t="shared" si="4"/>
        <v>3.2059999999999977E-2</v>
      </c>
      <c r="M48" s="182">
        <f t="shared" si="4"/>
        <v>3.2059999999999977E-2</v>
      </c>
      <c r="N48" s="182">
        <f t="shared" si="4"/>
        <v>3.2059999999999977E-2</v>
      </c>
      <c r="O48" s="3" t="str">
        <f>[4]!FormDisp(J48)</f>
        <v>=(1+J$18)*(1+J23)-1</v>
      </c>
      <c r="P48" s="3"/>
      <c r="Q48" s="3"/>
      <c r="R48" s="3"/>
      <c r="S48" s="3"/>
      <c r="T48" s="3"/>
      <c r="U48" s="3"/>
    </row>
    <row r="49" spans="1:21" ht="12.75">
      <c r="A49" s="1">
        <f t="shared" si="0"/>
        <v>49</v>
      </c>
      <c r="B49" s="38"/>
      <c r="C49" s="4"/>
      <c r="D49" s="1"/>
      <c r="E49" s="1"/>
      <c r="F49" s="1"/>
      <c r="G49" s="1"/>
      <c r="H49" s="1"/>
      <c r="I49" s="1"/>
      <c r="J49" s="25"/>
      <c r="K49" s="25"/>
      <c r="L49" s="3"/>
      <c r="M49" s="3"/>
      <c r="N49" s="3"/>
      <c r="O49" s="3" t="str">
        <f>[4]!FormDisp(J49)</f>
        <v/>
      </c>
      <c r="P49" s="3"/>
      <c r="Q49" s="3"/>
      <c r="R49" s="3"/>
      <c r="S49" s="3"/>
      <c r="T49" s="3"/>
      <c r="U49" s="3"/>
    </row>
    <row r="50" spans="1:21" ht="15">
      <c r="A50" s="1">
        <f t="shared" si="0"/>
        <v>50</v>
      </c>
      <c r="B50" s="6"/>
      <c r="C50" s="41" t="s">
        <v>70</v>
      </c>
      <c r="D50" s="41">
        <v>0</v>
      </c>
      <c r="E50" s="41">
        <v>1</v>
      </c>
      <c r="F50" s="41">
        <v>2</v>
      </c>
      <c r="G50" s="41">
        <v>3</v>
      </c>
      <c r="H50" s="41">
        <v>4</v>
      </c>
      <c r="I50" s="41">
        <v>5</v>
      </c>
      <c r="J50" s="75"/>
      <c r="K50" s="75"/>
      <c r="L50" s="1"/>
      <c r="M50" s="1"/>
      <c r="N50" s="3"/>
      <c r="O50" s="3" t="str">
        <f>[4]!FormDisp(J50)</f>
        <v/>
      </c>
      <c r="P50" s="3"/>
      <c r="Q50" s="3"/>
      <c r="R50" s="3"/>
      <c r="S50" s="3"/>
      <c r="T50" s="3"/>
      <c r="U50" s="3"/>
    </row>
    <row r="51" spans="1:21" ht="30">
      <c r="A51" s="1">
        <f t="shared" si="0"/>
        <v>51</v>
      </c>
      <c r="B51" s="33" t="s">
        <v>208</v>
      </c>
      <c r="C51" s="4"/>
      <c r="D51" s="1"/>
      <c r="E51" s="73">
        <f t="shared" ref="E51:N51" si="5">+(1+E24)</f>
        <v>1</v>
      </c>
      <c r="F51" s="73">
        <f t="shared" si="5"/>
        <v>1.008</v>
      </c>
      <c r="G51" s="73">
        <f t="shared" si="5"/>
        <v>1.0169999999999999</v>
      </c>
      <c r="H51" s="73">
        <f t="shared" si="5"/>
        <v>1.0149999999999999</v>
      </c>
      <c r="I51" s="73">
        <v>1.0209999999999999</v>
      </c>
      <c r="J51" s="73">
        <f t="shared" si="5"/>
        <v>1.03</v>
      </c>
      <c r="K51" s="73">
        <f t="shared" si="5"/>
        <v>1.03</v>
      </c>
      <c r="L51" s="73">
        <f t="shared" si="5"/>
        <v>1.03</v>
      </c>
      <c r="M51" s="73">
        <f t="shared" si="5"/>
        <v>1.04</v>
      </c>
      <c r="N51" s="73">
        <f t="shared" si="5"/>
        <v>1.04</v>
      </c>
      <c r="O51" s="3" t="str">
        <f>[4]!FormDisp(J51)</f>
        <v>=+(1+J24)</v>
      </c>
      <c r="P51" s="3"/>
      <c r="Q51" s="3"/>
      <c r="R51" s="3"/>
      <c r="S51" s="3"/>
      <c r="T51" s="3"/>
      <c r="U51" s="3"/>
    </row>
    <row r="52" spans="1:21" ht="12.75">
      <c r="A52" s="1">
        <f t="shared" si="0"/>
        <v>52</v>
      </c>
      <c r="B52" s="38"/>
      <c r="C52" s="4"/>
      <c r="D52" s="1"/>
      <c r="E52" s="39"/>
      <c r="F52" s="39"/>
      <c r="G52" s="39"/>
      <c r="H52" s="39"/>
      <c r="I52" s="39"/>
      <c r="J52" s="25"/>
      <c r="K52" s="25"/>
      <c r="L52" s="1"/>
      <c r="M52" s="31"/>
      <c r="N52" s="3"/>
      <c r="O52" s="3" t="str">
        <f>[4]!FormDisp(J52)</f>
        <v/>
      </c>
      <c r="P52" s="3"/>
      <c r="Q52" s="3"/>
      <c r="R52" s="3"/>
      <c r="S52" s="3"/>
      <c r="T52" s="3"/>
      <c r="U52" s="3"/>
    </row>
    <row r="53" spans="1:21" ht="30">
      <c r="A53" s="1">
        <f t="shared" si="0"/>
        <v>53</v>
      </c>
      <c r="B53" s="112" t="s">
        <v>209</v>
      </c>
      <c r="C53" s="41" t="s">
        <v>70</v>
      </c>
      <c r="D53" s="41">
        <v>0</v>
      </c>
      <c r="E53" s="41">
        <v>1</v>
      </c>
      <c r="F53" s="41">
        <v>2</v>
      </c>
      <c r="G53" s="41">
        <v>3</v>
      </c>
      <c r="H53" s="41">
        <v>4</v>
      </c>
      <c r="I53" s="41">
        <v>5</v>
      </c>
      <c r="J53" s="75"/>
      <c r="K53" s="75"/>
      <c r="L53" s="1"/>
      <c r="M53" s="31"/>
      <c r="N53" s="3"/>
      <c r="O53" s="3" t="str">
        <f>[4]!FormDisp(J53)</f>
        <v/>
      </c>
      <c r="P53" s="3"/>
      <c r="Q53" s="3"/>
      <c r="R53" s="3"/>
      <c r="S53" s="3"/>
      <c r="T53" s="3"/>
      <c r="U53" s="3"/>
    </row>
    <row r="54" spans="1:21" ht="15">
      <c r="A54" s="1">
        <f t="shared" si="0"/>
        <v>54</v>
      </c>
      <c r="B54" s="33" t="s">
        <v>210</v>
      </c>
      <c r="C54" s="4"/>
      <c r="D54" s="30"/>
      <c r="E54" s="7">
        <f>+D41</f>
        <v>51</v>
      </c>
      <c r="F54" s="7">
        <f t="shared" ref="F54:N54" si="6">E54*F51</f>
        <v>51.408000000000001</v>
      </c>
      <c r="G54" s="7">
        <f t="shared" si="6"/>
        <v>52.281935999999995</v>
      </c>
      <c r="H54" s="7">
        <f t="shared" si="6"/>
        <v>53.066165039999987</v>
      </c>
      <c r="I54" s="7">
        <v>54.180554505839979</v>
      </c>
      <c r="J54" s="7">
        <f>I242*J51</f>
        <v>55.805971141015178</v>
      </c>
      <c r="K54" s="7">
        <f t="shared" si="6"/>
        <v>57.480150275245634</v>
      </c>
      <c r="L54" s="7">
        <f t="shared" si="6"/>
        <v>59.204554783503006</v>
      </c>
      <c r="M54" s="7">
        <f t="shared" si="6"/>
        <v>61.572736974843131</v>
      </c>
      <c r="N54" s="7">
        <f t="shared" si="6"/>
        <v>64.035646453836861</v>
      </c>
      <c r="O54" s="195" t="str">
        <f>[4]!FormDisp(J54)</f>
        <v>=I242*J51</v>
      </c>
      <c r="P54" s="3"/>
      <c r="Q54" s="3"/>
      <c r="R54" s="3"/>
      <c r="S54" s="3"/>
      <c r="T54" s="3"/>
      <c r="U54" s="3"/>
    </row>
    <row r="55" spans="1:21" ht="15">
      <c r="A55" s="1">
        <f t="shared" si="0"/>
        <v>55</v>
      </c>
      <c r="B55" s="33" t="s">
        <v>211</v>
      </c>
      <c r="C55" s="4"/>
      <c r="D55" s="7">
        <f>D40</f>
        <v>7</v>
      </c>
      <c r="E55" s="7">
        <f t="shared" ref="E55:N55" si="7">D55*(1+E44)</f>
        <v>7.4793600000000007</v>
      </c>
      <c r="F55" s="7">
        <f t="shared" si="7"/>
        <v>7.9775227727999996</v>
      </c>
      <c r="G55" s="7">
        <f t="shared" si="7"/>
        <v>8.5004493905570389</v>
      </c>
      <c r="H55" s="7">
        <f t="shared" si="7"/>
        <v>9.0325775224059086</v>
      </c>
      <c r="I55" s="7">
        <v>9.5145558590014865</v>
      </c>
      <c r="J55" s="7">
        <f>I243*(1+J44)</f>
        <v>9.9965632588185027</v>
      </c>
      <c r="K55" s="7">
        <f t="shared" si="7"/>
        <v>10.45249401334914</v>
      </c>
      <c r="L55" s="7">
        <f t="shared" si="7"/>
        <v>10.876421039295549</v>
      </c>
      <c r="M55" s="7">
        <f t="shared" si="7"/>
        <v>11.317541485596777</v>
      </c>
      <c r="N55" s="7">
        <f t="shared" si="7"/>
        <v>11.776552674398868</v>
      </c>
      <c r="O55" s="195" t="str">
        <f>[4]!FormDisp(J55)</f>
        <v>=I243*(1+J44)</v>
      </c>
      <c r="P55" s="3"/>
      <c r="Q55" s="3"/>
      <c r="R55" s="3"/>
      <c r="S55" s="3"/>
      <c r="T55" s="3"/>
      <c r="U55" s="3"/>
    </row>
    <row r="56" spans="1:21" ht="15">
      <c r="A56" s="1">
        <f t="shared" si="0"/>
        <v>56</v>
      </c>
      <c r="B56" s="33" t="s">
        <v>212</v>
      </c>
      <c r="C56" s="4"/>
      <c r="D56" s="7"/>
      <c r="E56" s="7">
        <f t="shared" ref="E56:N56" si="8">+E55*E54</f>
        <v>381.44736000000006</v>
      </c>
      <c r="F56" s="7">
        <f t="shared" si="8"/>
        <v>410.10849070410239</v>
      </c>
      <c r="G56" s="7">
        <f t="shared" si="8"/>
        <v>444.41995100834208</v>
      </c>
      <c r="H56" s="7">
        <f t="shared" si="8"/>
        <v>479.32424954058615</v>
      </c>
      <c r="I56" s="7">
        <v>515.50391231748915</v>
      </c>
      <c r="J56" s="7">
        <f t="shared" si="8"/>
        <v>557.86792073095796</v>
      </c>
      <c r="K56" s="7">
        <f t="shared" si="8"/>
        <v>600.81092663841389</v>
      </c>
      <c r="L56" s="7">
        <f t="shared" si="8"/>
        <v>643.93366526941804</v>
      </c>
      <c r="M56" s="7">
        <f t="shared" si="8"/>
        <v>696.85200509452579</v>
      </c>
      <c r="N56" s="7">
        <f t="shared" si="8"/>
        <v>754.11916350279284</v>
      </c>
      <c r="O56" s="3" t="str">
        <f>[4]!FormDisp(J56)</f>
        <v>=+J55*J54</v>
      </c>
      <c r="P56" s="3"/>
      <c r="Q56" s="3"/>
      <c r="R56" s="3"/>
      <c r="S56" s="3"/>
      <c r="T56" s="3"/>
      <c r="U56" s="3"/>
    </row>
    <row r="57" spans="1:21" ht="12.75">
      <c r="A57" s="1">
        <f t="shared" si="0"/>
        <v>57</v>
      </c>
      <c r="E57" s="15"/>
      <c r="F57" s="15"/>
      <c r="G57" s="15"/>
      <c r="H57" s="15"/>
      <c r="I57" s="15"/>
      <c r="J57" s="25"/>
      <c r="K57" s="25"/>
      <c r="L57" s="3"/>
      <c r="M57" s="3"/>
      <c r="N57" s="3"/>
      <c r="O57" s="3" t="str">
        <f>[4]!FormDisp(J57)</f>
        <v/>
      </c>
      <c r="P57" s="3"/>
      <c r="Q57" s="3"/>
      <c r="R57" s="3"/>
      <c r="S57" s="3"/>
      <c r="T57" s="3"/>
      <c r="U57" s="3"/>
    </row>
    <row r="58" spans="1:21" ht="12.75">
      <c r="A58" s="1">
        <f t="shared" si="0"/>
        <v>58</v>
      </c>
      <c r="B58" s="3"/>
      <c r="C58" s="41" t="s">
        <v>70</v>
      </c>
      <c r="D58" s="41">
        <v>0</v>
      </c>
      <c r="E58" s="41">
        <v>1</v>
      </c>
      <c r="F58" s="41">
        <v>2</v>
      </c>
      <c r="G58" s="41">
        <v>3</v>
      </c>
      <c r="H58" s="41">
        <v>4</v>
      </c>
      <c r="I58" s="41">
        <v>5</v>
      </c>
      <c r="J58" s="25"/>
      <c r="K58" s="25"/>
      <c r="L58" s="3"/>
      <c r="M58" s="3"/>
      <c r="N58" s="3"/>
      <c r="O58" s="3" t="str">
        <f>[4]!FormDisp(J58)</f>
        <v/>
      </c>
      <c r="P58" s="3"/>
      <c r="Q58" s="3"/>
      <c r="R58" s="3"/>
      <c r="S58" s="3"/>
      <c r="T58" s="3"/>
      <c r="U58" s="3"/>
    </row>
    <row r="59" spans="1:21" ht="15">
      <c r="A59" s="1">
        <f t="shared" si="0"/>
        <v>59</v>
      </c>
      <c r="B59" s="6" t="s">
        <v>15</v>
      </c>
      <c r="C59" s="4"/>
      <c r="D59" s="1"/>
      <c r="E59" s="17">
        <f>(1+E48)</f>
        <v>1.06212</v>
      </c>
      <c r="F59" s="17">
        <f t="shared" ref="F59:H59" si="9">E59*(1+F48)</f>
        <v>1.1238982097999997</v>
      </c>
      <c r="G59" s="17">
        <f t="shared" si="9"/>
        <v>1.1904554617843557</v>
      </c>
      <c r="H59" s="17">
        <f t="shared" si="9"/>
        <v>1.2512282131084471</v>
      </c>
      <c r="I59" s="17">
        <v>1.3140711501118185</v>
      </c>
      <c r="J59" s="17">
        <f>(1+J48)</f>
        <v>1.0420800000000001</v>
      </c>
      <c r="K59" s="17">
        <f>J59*(1+K48)</f>
        <v>1.0807099056</v>
      </c>
      <c r="L59" s="17">
        <f t="shared" ref="L59:N59" si="10">K59*(1+L48)</f>
        <v>1.1153574651735361</v>
      </c>
      <c r="M59" s="17">
        <f t="shared" si="10"/>
        <v>1.1511158255069995</v>
      </c>
      <c r="N59" s="17">
        <f t="shared" si="10"/>
        <v>1.1880205988727539</v>
      </c>
      <c r="O59" s="3" t="str">
        <f>[4]!FormDisp(J59)</f>
        <v>=(1+J48)</v>
      </c>
      <c r="P59" s="3" t="str">
        <f>[4]!FormDisp(K59)</f>
        <v>=J59*(1+K48)</v>
      </c>
      <c r="Q59" s="3"/>
      <c r="R59" s="3"/>
      <c r="S59" s="3"/>
      <c r="T59" s="3"/>
      <c r="U59" s="3"/>
    </row>
    <row r="60" spans="1:21" ht="15">
      <c r="A60" s="1">
        <f t="shared" si="0"/>
        <v>60</v>
      </c>
      <c r="B60" s="6" t="s">
        <v>16</v>
      </c>
      <c r="C60" s="4"/>
      <c r="D60" s="1"/>
      <c r="E60" s="34"/>
      <c r="F60" s="17"/>
      <c r="G60" s="17"/>
      <c r="H60" s="17">
        <f>+H59*$D$5</f>
        <v>56.305269589880119</v>
      </c>
      <c r="I60" s="17"/>
      <c r="J60" s="17"/>
      <c r="K60" s="17"/>
      <c r="L60" s="17">
        <f>+L59*I37</f>
        <v>65.954658017087596</v>
      </c>
      <c r="M60" s="17"/>
      <c r="N60" s="17"/>
      <c r="O60" s="3" t="str">
        <f>[4]!FormDisp(L60)</f>
        <v>=+L59*I37</v>
      </c>
      <c r="P60" s="3" t="s">
        <v>425</v>
      </c>
      <c r="Q60" s="3"/>
      <c r="R60" s="3"/>
      <c r="S60" s="3"/>
      <c r="T60" s="3"/>
      <c r="U60" s="3"/>
    </row>
    <row r="61" spans="1:21" ht="15">
      <c r="A61" s="1">
        <f>ROW(B61)</f>
        <v>61</v>
      </c>
      <c r="B61" s="33" t="s">
        <v>19</v>
      </c>
      <c r="C61" s="4"/>
      <c r="D61" s="1"/>
      <c r="E61" s="19"/>
      <c r="F61" s="19"/>
      <c r="G61" s="19"/>
      <c r="H61" s="19"/>
      <c r="I61" s="19"/>
      <c r="J61" s="19">
        <f>((1+J18)*(1+J25)-1)</f>
        <v>7.1200000000000152E-2</v>
      </c>
      <c r="K61" s="19">
        <f>((1+K18)*(1+$E$25)-1)</f>
        <v>6.6049999999999942E-2</v>
      </c>
      <c r="L61" s="19">
        <f>((1+L18)*(1+$E$25)-1)</f>
        <v>6.0899999999999954E-2</v>
      </c>
      <c r="M61" s="19">
        <f>((1+M18)*(1+$E$25)-1)</f>
        <v>6.0899999999999954E-2</v>
      </c>
      <c r="N61" s="19">
        <f>((1+N18)*(1+$E$25)-1)</f>
        <v>6.0899999999999954E-2</v>
      </c>
      <c r="O61" s="3" t="str">
        <f>[4]!FormDisp(J61)</f>
        <v>=((1+J18)*(1+J25)-1)</v>
      </c>
      <c r="P61" s="3"/>
      <c r="Q61" s="3"/>
      <c r="R61" s="3"/>
      <c r="S61" s="3"/>
      <c r="T61" s="3"/>
      <c r="U61" s="3"/>
    </row>
    <row r="62" spans="1:21" ht="15">
      <c r="A62" s="1">
        <f t="shared" si="0"/>
        <v>62</v>
      </c>
      <c r="B62" s="6" t="s">
        <v>17</v>
      </c>
      <c r="C62" s="4"/>
      <c r="D62" s="1"/>
      <c r="E62" s="19">
        <f>+E28+E27</f>
        <v>8.7740000000000096E-2</v>
      </c>
      <c r="F62" s="19">
        <f>+F28+F27</f>
        <v>8.2317499999999891E-2</v>
      </c>
      <c r="G62" s="19">
        <f>+G28+G27</f>
        <v>8.1789999999999891E-2</v>
      </c>
      <c r="H62" s="19">
        <f>+H28+H27</f>
        <v>7.8475000000000128E-2</v>
      </c>
      <c r="I62" s="19">
        <v>7.3054999999999926E-2</v>
      </c>
      <c r="J62" s="19">
        <f>+J61+J27</f>
        <v>6.7127500000000145E-2</v>
      </c>
      <c r="K62" s="19">
        <f>+K61+K27</f>
        <v>6.1977499999999942E-2</v>
      </c>
      <c r="L62" s="19">
        <f>+L61+L27</f>
        <v>5.6827499999999954E-2</v>
      </c>
      <c r="M62" s="19">
        <f>+M61+M27</f>
        <v>5.6827499999999954E-2</v>
      </c>
      <c r="N62" s="19">
        <f>+N61+N27</f>
        <v>5.6827499999999954E-2</v>
      </c>
      <c r="O62" s="3" t="e">
        <f ca="1">[4]!FormDisp(J62)</f>
        <v>#NAME?</v>
      </c>
      <c r="P62" s="3"/>
      <c r="Q62" s="3"/>
      <c r="R62" s="3"/>
      <c r="S62" s="3"/>
      <c r="T62" s="3"/>
      <c r="U62" s="3"/>
    </row>
    <row r="63" spans="1:21" ht="30">
      <c r="A63" s="1">
        <f t="shared" si="0"/>
        <v>63</v>
      </c>
      <c r="B63" s="33" t="s">
        <v>18</v>
      </c>
      <c r="C63" s="4"/>
      <c r="D63" s="1"/>
      <c r="E63" s="19">
        <f>E28+E26</f>
        <v>0.14180000000000009</v>
      </c>
      <c r="F63" s="19">
        <f>F28+F26</f>
        <v>0.13584999999999989</v>
      </c>
      <c r="G63" s="19">
        <f>G28+G26</f>
        <v>0.13964999999999989</v>
      </c>
      <c r="H63" s="19">
        <f>H28+H26</f>
        <v>0.13350000000000012</v>
      </c>
      <c r="I63" s="19">
        <v>0.12534999999999991</v>
      </c>
      <c r="J63" s="19">
        <f>J61+J26</f>
        <v>0.1219611639580902</v>
      </c>
      <c r="K63" s="19">
        <f>K61+K26</f>
        <v>0.11681116395808999</v>
      </c>
      <c r="L63" s="19">
        <f>L61+L26</f>
        <v>0.11166116395809</v>
      </c>
      <c r="M63" s="19">
        <f>M61+M26</f>
        <v>0.11166116395809</v>
      </c>
      <c r="N63" s="19">
        <f>N61+N26</f>
        <v>0.11166116395809</v>
      </c>
      <c r="O63" s="3" t="e">
        <f ca="1">[4]!FormDisp(J63)</f>
        <v>#NAME?</v>
      </c>
      <c r="P63" s="3"/>
      <c r="Q63" s="3"/>
      <c r="R63" s="3"/>
      <c r="S63" s="3"/>
      <c r="T63" s="3"/>
      <c r="U63" s="3"/>
    </row>
    <row r="64" spans="1:21" ht="15">
      <c r="A64" s="1">
        <f t="shared" si="0"/>
        <v>64</v>
      </c>
      <c r="B64" s="6" t="s">
        <v>333</v>
      </c>
      <c r="C64" s="4"/>
      <c r="D64" s="1"/>
      <c r="E64" s="1"/>
      <c r="F64" s="1"/>
      <c r="G64" s="1"/>
      <c r="H64" s="1"/>
      <c r="I64" s="1"/>
      <c r="J64" s="17">
        <f>+J35*J101</f>
        <v>12.06144665202082</v>
      </c>
      <c r="K64" s="17">
        <f>+K35*K101</f>
        <v>12.989900781721509</v>
      </c>
      <c r="L64" s="17">
        <f>+L35*L101</f>
        <v>13.922240843156468</v>
      </c>
      <c r="M64" s="17">
        <f>+M35*M101</f>
        <v>15.066367811198898</v>
      </c>
      <c r="N64" s="17">
        <f>+N35*N101</f>
        <v>16.304518904649662</v>
      </c>
      <c r="O64" s="3" t="e">
        <f ca="1">[4]!FormDisp(J64)</f>
        <v>#NAME?</v>
      </c>
      <c r="P64" s="3"/>
      <c r="Q64" s="3"/>
      <c r="R64" s="3"/>
      <c r="S64" s="3"/>
      <c r="T64" s="3"/>
      <c r="U64" s="3"/>
    </row>
    <row r="65" spans="1:21" ht="15">
      <c r="A65" s="1">
        <f t="shared" si="0"/>
        <v>65</v>
      </c>
      <c r="B65" s="112" t="s">
        <v>20</v>
      </c>
      <c r="C65" s="4"/>
      <c r="D65" s="1"/>
      <c r="E65" s="1"/>
      <c r="F65" s="1"/>
      <c r="G65" s="1"/>
      <c r="H65" s="1"/>
      <c r="I65" s="1"/>
      <c r="J65" s="25"/>
      <c r="K65" s="25"/>
      <c r="L65" s="3"/>
      <c r="M65" s="3"/>
      <c r="N65" s="3"/>
      <c r="O65" s="3" t="str">
        <f>[4]!FormDisp(J65)</f>
        <v/>
      </c>
      <c r="P65" s="3"/>
      <c r="Q65" s="3"/>
      <c r="R65" s="3"/>
      <c r="S65" s="3"/>
      <c r="T65" s="3"/>
      <c r="U65" s="3"/>
    </row>
    <row r="66" spans="1:21" ht="15">
      <c r="A66" s="1">
        <f t="shared" si="0"/>
        <v>66</v>
      </c>
      <c r="B66" s="6"/>
      <c r="C66" s="41" t="s">
        <v>70</v>
      </c>
      <c r="D66" s="41">
        <v>0</v>
      </c>
      <c r="E66" s="41">
        <v>1</v>
      </c>
      <c r="F66" s="41">
        <v>2</v>
      </c>
      <c r="G66" s="41">
        <v>3</v>
      </c>
      <c r="H66" s="41">
        <v>4</v>
      </c>
      <c r="I66" s="41">
        <v>5</v>
      </c>
      <c r="J66" s="75"/>
      <c r="K66" s="75"/>
      <c r="L66" s="3"/>
      <c r="M66" s="3"/>
      <c r="N66" s="3"/>
      <c r="O66" s="3" t="str">
        <f>[4]!FormDisp(J66)</f>
        <v/>
      </c>
      <c r="P66" s="3"/>
      <c r="Q66" s="3"/>
      <c r="R66" s="3"/>
      <c r="S66" s="3"/>
      <c r="T66" s="3"/>
      <c r="U66" s="3"/>
    </row>
    <row r="67" spans="1:21" ht="15">
      <c r="A67" s="1">
        <f t="shared" si="0"/>
        <v>67</v>
      </c>
      <c r="B67" s="163" t="s">
        <v>21</v>
      </c>
      <c r="C67" s="4"/>
      <c r="D67" s="3"/>
      <c r="E67" s="7">
        <f t="shared" ref="E67:N67" si="11">+D77</f>
        <v>45</v>
      </c>
      <c r="F67" s="7">
        <f t="shared" si="11"/>
        <v>33.75</v>
      </c>
      <c r="G67" s="7">
        <f t="shared" si="11"/>
        <v>22.5</v>
      </c>
      <c r="H67" s="7">
        <f t="shared" si="11"/>
        <v>11.25</v>
      </c>
      <c r="I67" s="7">
        <v>56.305269589880119</v>
      </c>
      <c r="J67" s="165">
        <f>+I211</f>
        <v>42.228952192410084</v>
      </c>
      <c r="K67" s="165">
        <f t="shared" si="11"/>
        <v>42.228952192410084</v>
      </c>
      <c r="L67" s="165">
        <f t="shared" si="11"/>
        <v>42.228952192410084</v>
      </c>
      <c r="M67" s="165">
        <f t="shared" si="11"/>
        <v>108.18361020949769</v>
      </c>
      <c r="N67" s="165">
        <f t="shared" si="11"/>
        <v>108.18361020949769</v>
      </c>
      <c r="O67" s="195" t="str">
        <f>[4]!FormDisp(J67)</f>
        <v>=+I211</v>
      </c>
      <c r="P67" s="3"/>
      <c r="Q67" s="3"/>
      <c r="R67" s="3"/>
      <c r="S67" s="3"/>
      <c r="T67" s="3"/>
      <c r="U67" s="3"/>
    </row>
    <row r="68" spans="1:21" ht="15">
      <c r="A68" s="1">
        <f t="shared" si="0"/>
        <v>68</v>
      </c>
      <c r="B68" s="163" t="s">
        <v>424</v>
      </c>
      <c r="C68" s="4"/>
      <c r="D68" s="3"/>
      <c r="E68" s="7"/>
      <c r="F68" s="7"/>
      <c r="G68" s="7"/>
      <c r="H68" s="7"/>
      <c r="I68" s="7">
        <v>14.07631739747003</v>
      </c>
      <c r="J68" s="165">
        <f>I191</f>
        <v>14.07631739747003</v>
      </c>
      <c r="K68" s="165">
        <f>+J68</f>
        <v>14.07631739747003</v>
      </c>
      <c r="L68" s="165">
        <f>+K68</f>
        <v>14.07631739747003</v>
      </c>
      <c r="M68" s="165"/>
      <c r="N68" s="165"/>
      <c r="O68" s="195" t="str">
        <f>[4]!FormDisp(J68)</f>
        <v>=I191</v>
      </c>
      <c r="P68" s="196" t="s">
        <v>443</v>
      </c>
      <c r="Q68" s="3"/>
      <c r="R68" s="3"/>
      <c r="S68" s="3"/>
      <c r="T68" s="3"/>
      <c r="U68" s="3"/>
    </row>
    <row r="69" spans="1:21" ht="12.75">
      <c r="A69" s="35">
        <f t="shared" si="0"/>
        <v>69</v>
      </c>
      <c r="B69" s="164" t="s">
        <v>419</v>
      </c>
      <c r="J69" s="165">
        <f>+I76/D6</f>
        <v>0</v>
      </c>
      <c r="K69" s="166">
        <f>+J69</f>
        <v>0</v>
      </c>
      <c r="L69" s="166">
        <f>+K69</f>
        <v>0</v>
      </c>
      <c r="M69" s="166">
        <f>+L69</f>
        <v>0</v>
      </c>
      <c r="N69" s="167"/>
      <c r="O69" s="195" t="str">
        <f>[4]!FormDisp(J69)</f>
        <v>=+I76/D6</v>
      </c>
      <c r="P69" s="196" t="s">
        <v>443</v>
      </c>
    </row>
    <row r="70" spans="1:21" ht="12.75">
      <c r="A70" s="35">
        <f t="shared" si="0"/>
        <v>70</v>
      </c>
      <c r="B70" s="164" t="s">
        <v>420</v>
      </c>
      <c r="C70" s="4"/>
      <c r="D70" s="3"/>
      <c r="E70" s="7"/>
      <c r="F70" s="7"/>
      <c r="G70" s="7"/>
      <c r="H70" s="7"/>
      <c r="I70" s="7"/>
      <c r="J70" s="165"/>
      <c r="K70" s="165">
        <f>+J76/D6</f>
        <v>3.5190793493675074</v>
      </c>
      <c r="L70" s="165">
        <f>+K70</f>
        <v>3.5190793493675074</v>
      </c>
      <c r="M70" s="165">
        <f>+L70</f>
        <v>3.5190793493675074</v>
      </c>
      <c r="N70" s="165">
        <f>+M70</f>
        <v>3.5190793493675074</v>
      </c>
      <c r="O70" s="3" t="str">
        <f>[4]!FormDisp(K70)</f>
        <v>=+J76/D6</v>
      </c>
      <c r="P70" s="3"/>
      <c r="Q70" s="3"/>
      <c r="R70" s="3"/>
      <c r="S70" s="3"/>
      <c r="T70" s="3"/>
      <c r="U70" s="3"/>
    </row>
    <row r="71" spans="1:21" ht="12.75">
      <c r="A71" s="35">
        <f t="shared" si="0"/>
        <v>71</v>
      </c>
      <c r="B71" s="164" t="s">
        <v>421</v>
      </c>
      <c r="C71" s="4"/>
      <c r="D71" s="3"/>
      <c r="E71" s="7"/>
      <c r="F71" s="7"/>
      <c r="G71" s="7"/>
      <c r="H71" s="7"/>
      <c r="I71" s="7"/>
      <c r="J71" s="165"/>
      <c r="K71" s="165"/>
      <c r="L71" s="165">
        <f>+K76/D6</f>
        <v>4.3988491867093842</v>
      </c>
      <c r="M71" s="165">
        <f>+L71</f>
        <v>4.3988491867093842</v>
      </c>
      <c r="N71" s="165">
        <f>+M71</f>
        <v>4.3988491867093842</v>
      </c>
      <c r="O71" s="3" t="str">
        <f>[4]!FormDisp(L71)</f>
        <v>=+K76/D6</v>
      </c>
      <c r="P71" s="3"/>
      <c r="Q71" s="3"/>
      <c r="R71" s="3"/>
      <c r="S71" s="3"/>
      <c r="T71" s="3"/>
      <c r="U71" s="3"/>
    </row>
    <row r="72" spans="1:21" ht="12.75">
      <c r="A72" s="35">
        <f t="shared" si="0"/>
        <v>72</v>
      </c>
      <c r="B72" s="164" t="s">
        <v>422</v>
      </c>
      <c r="C72" s="4"/>
      <c r="D72" s="3"/>
      <c r="E72" s="7"/>
      <c r="F72" s="7"/>
      <c r="G72" s="7"/>
      <c r="H72" s="7"/>
      <c r="I72" s="7"/>
      <c r="J72" s="165"/>
      <c r="K72" s="165"/>
      <c r="L72" s="165"/>
      <c r="M72" s="165">
        <f>+L76/D6</f>
        <v>21.987225987658629</v>
      </c>
      <c r="N72" s="165">
        <f>+M72</f>
        <v>21.987225987658629</v>
      </c>
      <c r="O72" s="3" t="str">
        <f>[4]!FormDisp(M72)</f>
        <v>=+L76/D6</v>
      </c>
      <c r="P72" s="3"/>
      <c r="Q72" s="3"/>
      <c r="R72" s="3"/>
      <c r="S72" s="3"/>
      <c r="T72" s="3"/>
      <c r="U72" s="3"/>
    </row>
    <row r="73" spans="1:21" ht="12.75">
      <c r="A73" s="35">
        <f t="shared" si="0"/>
        <v>73</v>
      </c>
      <c r="B73" s="164" t="s">
        <v>423</v>
      </c>
      <c r="C73" s="4"/>
      <c r="D73" s="3"/>
      <c r="E73" s="7"/>
      <c r="F73" s="7"/>
      <c r="G73" s="7"/>
      <c r="H73" s="7"/>
      <c r="I73" s="7"/>
      <c r="J73" s="165"/>
      <c r="K73" s="165"/>
      <c r="L73" s="165"/>
      <c r="M73" s="165"/>
      <c r="N73" s="165">
        <f>+M76/D6</f>
        <v>7.4762886309338796</v>
      </c>
      <c r="O73" s="3" t="str">
        <f>[4]!FormDisp(N73)</f>
        <v>=+M76/D6</v>
      </c>
      <c r="P73" s="3"/>
      <c r="Q73" s="3"/>
      <c r="R73" s="3"/>
      <c r="S73" s="3"/>
      <c r="T73" s="3"/>
      <c r="U73" s="3"/>
    </row>
    <row r="74" spans="1:21" ht="15">
      <c r="A74" s="1">
        <f>ROW(B74)</f>
        <v>74</v>
      </c>
      <c r="B74" s="163" t="s">
        <v>22</v>
      </c>
      <c r="C74" s="4"/>
      <c r="D74" s="3"/>
      <c r="E74" s="7">
        <f>$D$77/$D$6</f>
        <v>11.25</v>
      </c>
      <c r="F74" s="7">
        <f>$D$77/$D$6</f>
        <v>11.25</v>
      </c>
      <c r="G74" s="7">
        <f>$D$77/$D$6</f>
        <v>11.25</v>
      </c>
      <c r="H74" s="7">
        <f>$D$77/$D$6</f>
        <v>11.25</v>
      </c>
      <c r="I74" s="7">
        <v>14.07631739747003</v>
      </c>
      <c r="J74" s="165">
        <f t="shared" ref="J74:N74" si="12">SUM(J68:J73)</f>
        <v>14.07631739747003</v>
      </c>
      <c r="K74" s="165">
        <f t="shared" si="12"/>
        <v>17.595396746837537</v>
      </c>
      <c r="L74" s="165">
        <f t="shared" si="12"/>
        <v>21.994245933546921</v>
      </c>
      <c r="M74" s="165">
        <f t="shared" si="12"/>
        <v>29.905154523735519</v>
      </c>
      <c r="N74" s="165">
        <f t="shared" si="12"/>
        <v>37.381443154669398</v>
      </c>
      <c r="O74" s="3" t="str">
        <f>[4]!FormDisp(J74)</f>
        <v>=SUM(J68:J73)</v>
      </c>
      <c r="P74" s="3"/>
      <c r="Q74" s="3"/>
      <c r="R74" s="3"/>
      <c r="S74" s="3"/>
      <c r="T74" s="3"/>
      <c r="U74" s="3"/>
    </row>
    <row r="75" spans="1:21" ht="15">
      <c r="A75" s="1">
        <f t="shared" si="0"/>
        <v>75</v>
      </c>
      <c r="B75" s="163" t="s">
        <v>23</v>
      </c>
      <c r="C75" s="4"/>
      <c r="D75" s="3"/>
      <c r="E75" s="7">
        <f t="shared" ref="E75:N75" si="13">+E74+D75</f>
        <v>11.25</v>
      </c>
      <c r="F75" s="7">
        <f t="shared" si="13"/>
        <v>22.5</v>
      </c>
      <c r="G75" s="7">
        <f t="shared" si="13"/>
        <v>33.75</v>
      </c>
      <c r="H75" s="7">
        <f t="shared" si="13"/>
        <v>45</v>
      </c>
      <c r="I75" s="7">
        <v>59.076317397470028</v>
      </c>
      <c r="J75" s="165">
        <f>+I210+J74</f>
        <v>73.152634794940056</v>
      </c>
      <c r="K75" s="165">
        <f t="shared" si="13"/>
        <v>90.748031541777593</v>
      </c>
      <c r="L75" s="165">
        <f t="shared" si="13"/>
        <v>112.74227747532451</v>
      </c>
      <c r="M75" s="165">
        <f t="shared" si="13"/>
        <v>142.64743199906002</v>
      </c>
      <c r="N75" s="165">
        <f t="shared" si="13"/>
        <v>180.02887515372942</v>
      </c>
      <c r="O75" s="195" t="str">
        <f>[4]!FormDisp(J75)</f>
        <v>=+I210+J74</v>
      </c>
      <c r="P75" s="3"/>
      <c r="Q75" s="3"/>
      <c r="R75" s="3"/>
      <c r="S75" s="3"/>
      <c r="T75" s="3"/>
      <c r="U75" s="3"/>
    </row>
    <row r="76" spans="1:21" ht="15">
      <c r="A76" s="1">
        <f t="shared" ref="A76:A137" si="14">ROW(B76)</f>
        <v>76</v>
      </c>
      <c r="B76" s="163" t="s">
        <v>24</v>
      </c>
      <c r="C76" s="4"/>
      <c r="D76" s="7">
        <f>D60</f>
        <v>0</v>
      </c>
      <c r="E76" s="7">
        <f>E60</f>
        <v>0</v>
      </c>
      <c r="F76" s="7">
        <f>F60</f>
        <v>0</v>
      </c>
      <c r="G76" s="7">
        <f>G60</f>
        <v>0</v>
      </c>
      <c r="H76" s="7">
        <f>H60</f>
        <v>56.305269589880119</v>
      </c>
      <c r="I76" s="7"/>
      <c r="J76" s="165">
        <f>J60+J74</f>
        <v>14.07631739747003</v>
      </c>
      <c r="K76" s="165">
        <f>K60+K74</f>
        <v>17.595396746837537</v>
      </c>
      <c r="L76" s="165">
        <f>L60+L74</f>
        <v>87.948903950634516</v>
      </c>
      <c r="M76" s="165">
        <f>M60+M74</f>
        <v>29.905154523735519</v>
      </c>
      <c r="N76" s="165">
        <f>N60+N74</f>
        <v>37.381443154669398</v>
      </c>
      <c r="O76" s="3" t="str">
        <f>[4]!FormDisp(J76)</f>
        <v>=J60+J74</v>
      </c>
      <c r="P76" s="3"/>
      <c r="Q76" s="3"/>
      <c r="R76" s="3"/>
      <c r="S76" s="3"/>
      <c r="T76" s="3"/>
      <c r="U76" s="3"/>
    </row>
    <row r="77" spans="1:21" ht="15">
      <c r="A77" s="1">
        <f t="shared" si="14"/>
        <v>77</v>
      </c>
      <c r="B77" s="163" t="s">
        <v>25</v>
      </c>
      <c r="C77" s="4"/>
      <c r="D77" s="7">
        <f>+D5+D76</f>
        <v>45</v>
      </c>
      <c r="E77" s="7">
        <f t="shared" ref="E77:N77" si="15">+E67-E74+E76</f>
        <v>33.75</v>
      </c>
      <c r="F77" s="7">
        <f t="shared" si="15"/>
        <v>22.5</v>
      </c>
      <c r="G77" s="7">
        <f t="shared" si="15"/>
        <v>11.25</v>
      </c>
      <c r="H77" s="7">
        <f t="shared" si="15"/>
        <v>56.305269589880119</v>
      </c>
      <c r="I77" s="7">
        <v>42.228952192410091</v>
      </c>
      <c r="J77" s="165">
        <f t="shared" si="15"/>
        <v>42.228952192410084</v>
      </c>
      <c r="K77" s="165">
        <f t="shared" si="15"/>
        <v>42.228952192410084</v>
      </c>
      <c r="L77" s="165">
        <f t="shared" si="15"/>
        <v>108.18361020949769</v>
      </c>
      <c r="M77" s="165">
        <f t="shared" si="15"/>
        <v>108.18361020949769</v>
      </c>
      <c r="N77" s="165">
        <f t="shared" si="15"/>
        <v>108.18361020949769</v>
      </c>
      <c r="O77" s="3" t="str">
        <f>[4]!FormDisp(J77)</f>
        <v>=+J67-J74+J76</v>
      </c>
      <c r="P77" s="3"/>
      <c r="Q77" s="3"/>
      <c r="R77" s="3"/>
      <c r="S77" s="3"/>
      <c r="T77" s="3"/>
      <c r="U77" s="3"/>
    </row>
    <row r="78" spans="1:21" ht="12.75">
      <c r="A78" s="1">
        <f t="shared" si="14"/>
        <v>78</v>
      </c>
      <c r="B78" s="38"/>
      <c r="C78" s="4"/>
      <c r="D78" s="7"/>
      <c r="E78" s="7"/>
      <c r="F78" s="7"/>
      <c r="G78" s="7"/>
      <c r="H78" s="7"/>
      <c r="I78" s="7"/>
      <c r="J78" s="25"/>
      <c r="K78" s="25"/>
      <c r="L78" s="25"/>
      <c r="M78" s="25"/>
      <c r="N78" s="25"/>
      <c r="O78" s="3" t="str">
        <f>[4]!FormDisp(J78)</f>
        <v/>
      </c>
      <c r="P78" s="3"/>
      <c r="Q78" s="3"/>
      <c r="R78" s="3"/>
      <c r="S78" s="3"/>
      <c r="T78" s="3"/>
      <c r="U78" s="3"/>
    </row>
    <row r="79" spans="1:21" ht="15">
      <c r="A79" s="1">
        <f t="shared" si="14"/>
        <v>79</v>
      </c>
      <c r="B79" s="112" t="s">
        <v>67</v>
      </c>
      <c r="C79" s="4"/>
      <c r="D79" s="7"/>
      <c r="E79" s="7"/>
      <c r="F79" s="7"/>
      <c r="G79" s="7"/>
      <c r="H79" s="7"/>
      <c r="I79" s="7"/>
      <c r="J79" s="25"/>
      <c r="K79" s="25"/>
      <c r="L79" s="3"/>
      <c r="M79" s="3"/>
      <c r="N79" s="3"/>
      <c r="O79" s="3" t="str">
        <f>[4]!FormDisp(J79)</f>
        <v/>
      </c>
      <c r="P79" s="3"/>
      <c r="Q79" s="3"/>
      <c r="R79" s="3"/>
      <c r="S79" s="3"/>
      <c r="T79" s="3"/>
      <c r="U79" s="3"/>
    </row>
    <row r="80" spans="1:21" ht="15">
      <c r="A80" s="1">
        <f t="shared" si="14"/>
        <v>80</v>
      </c>
      <c r="B80" s="6" t="s">
        <v>26</v>
      </c>
      <c r="C80" s="68" t="s">
        <v>70</v>
      </c>
      <c r="D80" s="68">
        <v>0</v>
      </c>
      <c r="E80" s="68">
        <v>1</v>
      </c>
      <c r="F80" s="68">
        <v>2</v>
      </c>
      <c r="G80" s="68">
        <v>3</v>
      </c>
      <c r="H80" s="68">
        <v>4</v>
      </c>
      <c r="I80" s="68">
        <v>5</v>
      </c>
      <c r="J80" s="183"/>
      <c r="K80" s="75"/>
      <c r="L80" s="3"/>
      <c r="M80" s="3"/>
      <c r="N80" s="3"/>
      <c r="O80" s="3" t="str">
        <f>[4]!FormDisp(J80)</f>
        <v/>
      </c>
      <c r="P80" s="3"/>
      <c r="Q80" s="3"/>
      <c r="R80" s="3"/>
      <c r="S80" s="3"/>
      <c r="T80" s="3"/>
      <c r="U80" s="3"/>
    </row>
    <row r="81" spans="1:21" ht="15">
      <c r="A81" s="1">
        <f t="shared" si="14"/>
        <v>81</v>
      </c>
      <c r="B81" s="6" t="s">
        <v>27</v>
      </c>
      <c r="C81" s="4"/>
      <c r="D81" s="7">
        <v>0</v>
      </c>
      <c r="E81" s="7">
        <f t="shared" ref="E81:N81" si="16">+E54</f>
        <v>51</v>
      </c>
      <c r="F81" s="7">
        <f t="shared" si="16"/>
        <v>51.408000000000001</v>
      </c>
      <c r="G81" s="7">
        <f t="shared" si="16"/>
        <v>52.281935999999995</v>
      </c>
      <c r="H81" s="7">
        <f t="shared" si="16"/>
        <v>53.066165039999987</v>
      </c>
      <c r="I81" s="17">
        <v>54.180554505839979</v>
      </c>
      <c r="J81" s="17">
        <f t="shared" si="16"/>
        <v>55.805971141015178</v>
      </c>
      <c r="K81" s="17">
        <f t="shared" si="16"/>
        <v>57.480150275245634</v>
      </c>
      <c r="L81" s="17">
        <f t="shared" si="16"/>
        <v>59.204554783503006</v>
      </c>
      <c r="M81" s="17">
        <f t="shared" si="16"/>
        <v>61.572736974843131</v>
      </c>
      <c r="N81" s="17">
        <f t="shared" si="16"/>
        <v>64.035646453836861</v>
      </c>
      <c r="O81" s="3" t="str">
        <f>[4]!FormDisp(J81)</f>
        <v>=+J54</v>
      </c>
      <c r="P81" s="3"/>
      <c r="Q81" s="3"/>
      <c r="R81" s="3"/>
      <c r="S81" s="3"/>
      <c r="T81" s="3"/>
      <c r="U81" s="3"/>
    </row>
    <row r="82" spans="1:21" ht="15">
      <c r="A82" s="1">
        <f t="shared" si="14"/>
        <v>82</v>
      </c>
      <c r="B82" s="6" t="s">
        <v>28</v>
      </c>
      <c r="C82" s="4"/>
      <c r="D82" s="7">
        <f>+D9</f>
        <v>4</v>
      </c>
      <c r="E82" s="7">
        <f t="shared" ref="E82:N82" si="17">E81*E31</f>
        <v>4.2499999999999982</v>
      </c>
      <c r="F82" s="7">
        <f t="shared" si="17"/>
        <v>4.1126399999999999</v>
      </c>
      <c r="G82" s="7">
        <f t="shared" si="17"/>
        <v>4.7053742399999994</v>
      </c>
      <c r="H82" s="7">
        <f t="shared" si="17"/>
        <v>4.5106240283999997</v>
      </c>
      <c r="I82" s="17">
        <v>4.5511665784905588</v>
      </c>
      <c r="J82" s="17">
        <f t="shared" si="17"/>
        <v>4.7352830806648161</v>
      </c>
      <c r="K82" s="17">
        <f t="shared" si="17"/>
        <v>4.8773415730847614</v>
      </c>
      <c r="L82" s="17">
        <f t="shared" si="17"/>
        <v>5.0236618202773045</v>
      </c>
      <c r="M82" s="17">
        <f t="shared" si="17"/>
        <v>5.224608293088397</v>
      </c>
      <c r="N82" s="17">
        <f t="shared" si="17"/>
        <v>5.4335926248119328</v>
      </c>
      <c r="O82" s="3" t="e">
        <f ca="1">[4]!FormDisp(J82)</f>
        <v>#NAME?</v>
      </c>
      <c r="P82" s="3"/>
      <c r="Q82" s="3"/>
      <c r="R82" s="3"/>
      <c r="S82" s="3"/>
      <c r="T82" s="3"/>
      <c r="U82" s="3"/>
    </row>
    <row r="83" spans="1:21" ht="15">
      <c r="A83" s="1">
        <f t="shared" si="14"/>
        <v>83</v>
      </c>
      <c r="B83" s="6" t="s">
        <v>29</v>
      </c>
      <c r="C83" s="4"/>
      <c r="D83" s="7">
        <f>C9</f>
        <v>0</v>
      </c>
      <c r="E83" s="7">
        <f t="shared" ref="E83:N83" si="18">D82</f>
        <v>4</v>
      </c>
      <c r="F83" s="7">
        <f t="shared" si="18"/>
        <v>4.2499999999999982</v>
      </c>
      <c r="G83" s="7">
        <f t="shared" si="18"/>
        <v>4.1126399999999999</v>
      </c>
      <c r="H83" s="7">
        <f t="shared" si="18"/>
        <v>4.7053742399999994</v>
      </c>
      <c r="I83" s="17">
        <v>4.5106240283999997</v>
      </c>
      <c r="J83" s="17">
        <f>I82</f>
        <v>4.5511665784905588</v>
      </c>
      <c r="K83" s="17">
        <f t="shared" si="18"/>
        <v>4.7352830806648161</v>
      </c>
      <c r="L83" s="17">
        <f t="shared" si="18"/>
        <v>4.8773415730847614</v>
      </c>
      <c r="M83" s="17">
        <f t="shared" si="18"/>
        <v>5.0236618202773045</v>
      </c>
      <c r="N83" s="17">
        <f t="shared" si="18"/>
        <v>5.224608293088397</v>
      </c>
      <c r="O83" s="195" t="str">
        <f>[4]!FormDisp(J83)</f>
        <v>=I82</v>
      </c>
      <c r="P83" s="3" t="s">
        <v>446</v>
      </c>
      <c r="Q83" s="3"/>
      <c r="R83" s="3"/>
      <c r="S83" s="3"/>
      <c r="T83" s="3"/>
      <c r="U83" s="3"/>
    </row>
    <row r="84" spans="1:21" ht="15">
      <c r="A84" s="1">
        <f t="shared" si="14"/>
        <v>84</v>
      </c>
      <c r="B84" s="6" t="s">
        <v>30</v>
      </c>
      <c r="C84" s="4"/>
      <c r="D84" s="7">
        <f t="shared" ref="D84:H84" si="19">D81+D82-D83</f>
        <v>4</v>
      </c>
      <c r="E84" s="7">
        <f t="shared" si="19"/>
        <v>51.25</v>
      </c>
      <c r="F84" s="7">
        <f t="shared" si="19"/>
        <v>51.27064</v>
      </c>
      <c r="G84" s="7">
        <f t="shared" si="19"/>
        <v>52.874670239999993</v>
      </c>
      <c r="H84" s="7">
        <f t="shared" si="19"/>
        <v>52.871414828399992</v>
      </c>
      <c r="I84" s="17">
        <v>54.221097055930535</v>
      </c>
      <c r="J84" s="17">
        <f>J81+J82-J83</f>
        <v>55.990087643189433</v>
      </c>
      <c r="K84" s="17">
        <f>K81+K82-K83</f>
        <v>57.622208767665583</v>
      </c>
      <c r="L84" s="17">
        <f>L81+L82-L83</f>
        <v>59.350875030695548</v>
      </c>
      <c r="M84" s="17">
        <f>M81+M82-M83</f>
        <v>61.773683447654228</v>
      </c>
      <c r="N84" s="17">
        <f>N81+N82-N83</f>
        <v>64.244630785560403</v>
      </c>
      <c r="O84" s="3" t="e">
        <f ca="1">[4]!FormDisp(J84)</f>
        <v>#NAME?</v>
      </c>
      <c r="P84" s="3"/>
      <c r="Q84" s="3"/>
      <c r="R84" s="3"/>
      <c r="S84" s="3"/>
      <c r="T84" s="3"/>
      <c r="U84" s="3"/>
    </row>
    <row r="85" spans="1:21" ht="15">
      <c r="A85" s="1">
        <f t="shared" si="14"/>
        <v>85</v>
      </c>
      <c r="B85" s="6" t="s">
        <v>32</v>
      </c>
      <c r="C85" s="4"/>
      <c r="D85" s="36">
        <f>+D10</f>
        <v>5</v>
      </c>
      <c r="E85" s="36">
        <f t="shared" ref="E85:N85" si="20">+D85*(1+E45)</f>
        <v>5.3264999999999993</v>
      </c>
      <c r="F85" s="36">
        <f t="shared" si="20"/>
        <v>5.6531742449999989</v>
      </c>
      <c r="G85" s="36">
        <f t="shared" si="20"/>
        <v>6.0058475202743233</v>
      </c>
      <c r="H85" s="36">
        <f t="shared" si="20"/>
        <v>6.3376705957694801</v>
      </c>
      <c r="I85" s="17">
        <v>6.6493572356694228</v>
      </c>
      <c r="J85" s="17">
        <f t="shared" si="20"/>
        <v>6.9533658484842302</v>
      </c>
      <c r="K85" s="17">
        <f t="shared" si="20"/>
        <v>7.2363156882736748</v>
      </c>
      <c r="L85" s="17">
        <f t="shared" si="20"/>
        <v>7.4943988872959562</v>
      </c>
      <c r="M85" s="17">
        <f t="shared" si="20"/>
        <v>7.7616866236113671</v>
      </c>
      <c r="N85" s="17">
        <f t="shared" si="20"/>
        <v>8.038507177042467</v>
      </c>
      <c r="O85" s="195" t="str">
        <f>[4]!FormDisp(J85)</f>
        <v>=+I85*(1+J45)</v>
      </c>
      <c r="P85" s="3" t="s">
        <v>446</v>
      </c>
      <c r="Q85" s="3"/>
      <c r="R85" s="3"/>
      <c r="S85" s="3"/>
      <c r="T85" s="3"/>
      <c r="U85" s="3"/>
    </row>
    <row r="86" spans="1:21" ht="12.75">
      <c r="A86" s="1">
        <f t="shared" si="14"/>
        <v>86</v>
      </c>
      <c r="B86" s="38"/>
      <c r="C86" s="4"/>
      <c r="D86" s="19"/>
      <c r="E86" s="30"/>
      <c r="F86" s="19"/>
      <c r="G86" s="19"/>
      <c r="H86" s="19"/>
      <c r="I86" s="19"/>
      <c r="J86" s="25"/>
      <c r="K86" s="25"/>
      <c r="L86" s="1"/>
      <c r="M86" s="1"/>
      <c r="N86" s="3"/>
      <c r="O86" s="3" t="str">
        <f>[4]!FormDisp(J86)</f>
        <v/>
      </c>
      <c r="P86" s="3"/>
      <c r="Q86" s="3"/>
      <c r="R86" s="3"/>
      <c r="S86" s="3"/>
      <c r="T86" s="3"/>
      <c r="U86" s="3"/>
    </row>
    <row r="87" spans="1:21" ht="15">
      <c r="A87" s="1">
        <f t="shared" si="14"/>
        <v>87</v>
      </c>
      <c r="B87" s="112" t="s">
        <v>33</v>
      </c>
      <c r="C87" s="68" t="s">
        <v>70</v>
      </c>
      <c r="D87" s="68">
        <v>0</v>
      </c>
      <c r="E87" s="68">
        <v>1</v>
      </c>
      <c r="F87" s="68">
        <v>2</v>
      </c>
      <c r="G87" s="68">
        <v>3</v>
      </c>
      <c r="H87" s="68">
        <v>4</v>
      </c>
      <c r="I87" s="68">
        <v>5</v>
      </c>
      <c r="J87" s="75"/>
      <c r="K87" s="75"/>
      <c r="L87" s="1"/>
      <c r="M87" s="1"/>
      <c r="N87" s="3"/>
      <c r="O87" s="3" t="str">
        <f>[4]!FormDisp(J87)</f>
        <v/>
      </c>
      <c r="P87" s="3"/>
      <c r="Q87" s="3"/>
      <c r="R87" s="3"/>
      <c r="S87" s="3"/>
      <c r="T87" s="3"/>
      <c r="U87" s="3"/>
    </row>
    <row r="88" spans="1:21" ht="15">
      <c r="A88" s="1">
        <f t="shared" si="14"/>
        <v>88</v>
      </c>
      <c r="B88" s="33" t="s">
        <v>36</v>
      </c>
      <c r="C88" s="4"/>
      <c r="D88" s="7">
        <f>+D83*D85</f>
        <v>0</v>
      </c>
      <c r="E88" s="7">
        <f t="shared" ref="E88:N88" si="21">+D90</f>
        <v>20</v>
      </c>
      <c r="F88" s="7">
        <f t="shared" si="21"/>
        <v>22.637624999999989</v>
      </c>
      <c r="G88" s="7">
        <f t="shared" si="21"/>
        <v>23.249470526956795</v>
      </c>
      <c r="H88" s="7">
        <f t="shared" si="21"/>
        <v>28.259760211266673</v>
      </c>
      <c r="I88" s="7">
        <v>28.58684927336196</v>
      </c>
      <c r="J88" s="7">
        <f>+I206</f>
        <v>30.262332419423046</v>
      </c>
      <c r="K88" s="7">
        <f t="shared" si="21"/>
        <v>32.926155655999928</v>
      </c>
      <c r="L88" s="7">
        <f t="shared" si="21"/>
        <v>35.29398334238266</v>
      </c>
      <c r="M88" s="7">
        <f t="shared" si="21"/>
        <v>37.649325556037411</v>
      </c>
      <c r="N88" s="7">
        <f t="shared" si="21"/>
        <v>40.551772302073225</v>
      </c>
      <c r="O88" s="195" t="str">
        <f>[4]!FormDisp(J88)</f>
        <v>=+I206</v>
      </c>
      <c r="P88" s="3"/>
      <c r="Q88" s="3"/>
      <c r="R88" s="3"/>
      <c r="S88" s="3"/>
      <c r="T88" s="3"/>
      <c r="U88" s="3"/>
    </row>
    <row r="89" spans="1:21" ht="15">
      <c r="A89" s="1">
        <f t="shared" si="14"/>
        <v>89</v>
      </c>
      <c r="B89" s="6" t="s">
        <v>34</v>
      </c>
      <c r="C89" s="4"/>
      <c r="D89" s="7">
        <f t="shared" ref="D89:N89" si="22">+D84*D85</f>
        <v>20</v>
      </c>
      <c r="E89" s="7">
        <f t="shared" si="22"/>
        <v>272.98312499999997</v>
      </c>
      <c r="F89" s="7">
        <f t="shared" si="22"/>
        <v>289.84186157266674</v>
      </c>
      <c r="G89" s="7">
        <f t="shared" si="22"/>
        <v>317.55720714622652</v>
      </c>
      <c r="H89" s="7">
        <f t="shared" si="22"/>
        <v>335.0816111146811</v>
      </c>
      <c r="I89" s="7">
        <v>360.53544403478577</v>
      </c>
      <c r="J89" s="7">
        <f t="shared" si="22"/>
        <v>389.31956327179233</v>
      </c>
      <c r="K89" s="7">
        <f t="shared" si="22"/>
        <v>416.97249329843936</v>
      </c>
      <c r="L89" s="7">
        <f t="shared" si="22"/>
        <v>444.79913179008605</v>
      </c>
      <c r="M89" s="7">
        <f t="shared" si="22"/>
        <v>479.46797250686075</v>
      </c>
      <c r="N89" s="7">
        <f t="shared" si="22"/>
        <v>516.43092565617076</v>
      </c>
      <c r="O89" s="3" t="e">
        <f ca="1">[4]!FormDisp(J89)</f>
        <v>#NAME?</v>
      </c>
      <c r="P89" s="3"/>
      <c r="Q89" s="3"/>
      <c r="R89" s="3"/>
      <c r="S89" s="3"/>
      <c r="T89" s="3"/>
      <c r="U89" s="3"/>
    </row>
    <row r="90" spans="1:21" ht="15">
      <c r="A90" s="1">
        <f t="shared" si="14"/>
        <v>90</v>
      </c>
      <c r="B90" s="33" t="s">
        <v>35</v>
      </c>
      <c r="C90" s="4"/>
      <c r="D90" s="7">
        <f t="shared" ref="D90:H90" si="23">D85*D82</f>
        <v>20</v>
      </c>
      <c r="E90" s="7">
        <f t="shared" si="23"/>
        <v>22.637624999999989</v>
      </c>
      <c r="F90" s="7">
        <f t="shared" si="23"/>
        <v>23.249470526956795</v>
      </c>
      <c r="G90" s="7">
        <f t="shared" si="23"/>
        <v>28.259760211266673</v>
      </c>
      <c r="H90" s="7">
        <f t="shared" si="23"/>
        <v>28.58684927336196</v>
      </c>
      <c r="I90" s="7">
        <f t="shared" ref="I90:N90" si="24">+I82*I85</f>
        <v>30.262332419423046</v>
      </c>
      <c r="J90" s="7">
        <f t="shared" si="24"/>
        <v>32.926155655999928</v>
      </c>
      <c r="K90" s="7">
        <f t="shared" si="24"/>
        <v>35.29398334238266</v>
      </c>
      <c r="L90" s="7">
        <f t="shared" si="24"/>
        <v>37.649325556037411</v>
      </c>
      <c r="M90" s="7">
        <f t="shared" si="24"/>
        <v>40.551772302073225</v>
      </c>
      <c r="N90" s="7">
        <f t="shared" si="24"/>
        <v>43.677973311675736</v>
      </c>
      <c r="O90" s="3" t="e">
        <f ca="1">[4]!FormDisp(J90)</f>
        <v>#NAME?</v>
      </c>
      <c r="P90" s="3"/>
      <c r="Q90" s="3"/>
      <c r="R90" s="3"/>
      <c r="S90" s="3"/>
      <c r="T90" s="3"/>
      <c r="U90" s="3"/>
    </row>
    <row r="91" spans="1:21" ht="15">
      <c r="A91" s="1">
        <f t="shared" si="14"/>
        <v>91</v>
      </c>
      <c r="B91" s="6" t="s">
        <v>37</v>
      </c>
      <c r="C91" s="4"/>
      <c r="D91" s="7">
        <f t="shared" ref="D91:H91" si="25">+D88+D89-D90</f>
        <v>0</v>
      </c>
      <c r="E91" s="7">
        <f t="shared" si="25"/>
        <v>270.34549999999996</v>
      </c>
      <c r="F91" s="7">
        <f t="shared" si="25"/>
        <v>289.23001604570999</v>
      </c>
      <c r="G91" s="7">
        <f t="shared" si="25"/>
        <v>312.54691746191662</v>
      </c>
      <c r="H91" s="7">
        <f t="shared" si="25"/>
        <v>334.7545220525858</v>
      </c>
      <c r="I91" s="7">
        <v>358.85996088872469</v>
      </c>
      <c r="J91" s="7">
        <f>+J88+J89-J90</f>
        <v>386.65574003521544</v>
      </c>
      <c r="K91" s="7">
        <f>+K88+K89-K90</f>
        <v>414.60466561205664</v>
      </c>
      <c r="L91" s="7">
        <f>+L88+L89-L90</f>
        <v>442.4437895764313</v>
      </c>
      <c r="M91" s="7">
        <f>+M88+M89-M90</f>
        <v>476.56552576082493</v>
      </c>
      <c r="N91" s="7">
        <f>+N88+N89-N90</f>
        <v>513.30472464656827</v>
      </c>
      <c r="O91" s="3" t="e">
        <f ca="1">[4]!FormDisp(J91)</f>
        <v>#NAME?</v>
      </c>
      <c r="P91" s="3"/>
      <c r="Q91" s="128">
        <f>4*0.4+3.9*0.6</f>
        <v>3.94</v>
      </c>
      <c r="R91" s="3"/>
      <c r="S91" s="3"/>
      <c r="T91" s="3"/>
      <c r="U91" s="3"/>
    </row>
    <row r="92" spans="1:21" ht="15">
      <c r="A92" s="1">
        <f>ROW(B92)</f>
        <v>92</v>
      </c>
      <c r="B92" s="6" t="s">
        <v>229</v>
      </c>
      <c r="C92" s="4"/>
      <c r="D92" s="7">
        <f>+D11</f>
        <v>22</v>
      </c>
      <c r="E92" s="7">
        <f t="shared" ref="E92:N92" si="26">D92*(1+E$46)</f>
        <v>23.436599999999999</v>
      </c>
      <c r="F92" s="7">
        <f t="shared" si="26"/>
        <v>24.972869129999999</v>
      </c>
      <c r="G92" s="7">
        <f t="shared" si="26"/>
        <v>26.4517624398786</v>
      </c>
      <c r="H92" s="7">
        <f t="shared" si="26"/>
        <v>27.99654536636751</v>
      </c>
      <c r="I92" s="7">
        <v>29.607466586748295</v>
      </c>
      <c r="J92" s="7">
        <f>I189*(1+J$46)</f>
        <v>31.053495254845082</v>
      </c>
      <c r="K92" s="7">
        <f t="shared" si="26"/>
        <v>32.413560713269156</v>
      </c>
      <c r="L92" s="7">
        <f t="shared" si="26"/>
        <v>33.669748258711898</v>
      </c>
      <c r="M92" s="7">
        <f t="shared" si="26"/>
        <v>34.974619352478271</v>
      </c>
      <c r="N92" s="7">
        <f t="shared" si="26"/>
        <v>36.330060725483563</v>
      </c>
      <c r="O92" s="195" t="str">
        <f>[4]!FormDisp(J92)</f>
        <v>=I189*(1+J$46)</v>
      </c>
      <c r="P92" s="195" t="str">
        <f>[4]!FormDisp(K92)</f>
        <v>=J92*(1+K$46)</v>
      </c>
      <c r="Q92" s="3"/>
      <c r="R92" s="3"/>
      <c r="S92" s="3"/>
      <c r="T92" s="3"/>
      <c r="U92" s="3"/>
    </row>
    <row r="93" spans="1:21" ht="15">
      <c r="A93" s="1">
        <f>ROW(B93)</f>
        <v>93</v>
      </c>
      <c r="B93" s="6"/>
      <c r="C93" s="68" t="s">
        <v>70</v>
      </c>
      <c r="D93" s="68">
        <v>0</v>
      </c>
      <c r="E93" s="68">
        <v>1</v>
      </c>
      <c r="F93" s="68">
        <v>2</v>
      </c>
      <c r="G93" s="68">
        <v>3</v>
      </c>
      <c r="H93" s="68">
        <v>4</v>
      </c>
      <c r="I93" s="68">
        <v>5</v>
      </c>
      <c r="J93" s="7"/>
      <c r="K93" s="7"/>
      <c r="L93" s="7"/>
      <c r="M93" s="7"/>
      <c r="N93" s="7"/>
      <c r="O93" s="3" t="str">
        <f>[4]!FormDisp(J93)</f>
        <v/>
      </c>
      <c r="P93" s="3"/>
      <c r="Q93" s="3"/>
      <c r="R93" s="3"/>
      <c r="S93" s="3"/>
      <c r="T93" s="3"/>
      <c r="U93" s="3"/>
    </row>
    <row r="94" spans="1:21" ht="15">
      <c r="A94" s="1">
        <f t="shared" si="14"/>
        <v>94</v>
      </c>
      <c r="B94" s="6" t="s">
        <v>38</v>
      </c>
      <c r="J94" s="75"/>
      <c r="K94" s="75"/>
      <c r="L94" s="3"/>
      <c r="M94" s="9"/>
      <c r="N94" s="3"/>
      <c r="O94" s="3" t="str">
        <f>[4]!FormDisp(J94)</f>
        <v/>
      </c>
      <c r="P94" s="3"/>
      <c r="Q94" s="3"/>
      <c r="R94" s="3"/>
      <c r="S94" s="3"/>
      <c r="T94" s="3"/>
      <c r="U94" s="3"/>
    </row>
    <row r="95" spans="1:21" ht="15">
      <c r="A95" s="1">
        <f t="shared" si="14"/>
        <v>95</v>
      </c>
      <c r="B95" s="6" t="s">
        <v>39</v>
      </c>
      <c r="C95" s="4"/>
      <c r="D95" s="1"/>
      <c r="E95" s="7">
        <f>+E56*$E$38</f>
        <v>15.257894400000003</v>
      </c>
      <c r="F95" s="7">
        <f>+F56*$E$38</f>
        <v>16.404339628164095</v>
      </c>
      <c r="G95" s="7">
        <f>+G56*$E$38</f>
        <v>17.776798040333684</v>
      </c>
      <c r="H95" s="7">
        <f>+H56*$E$38</f>
        <v>19.172969981623446</v>
      </c>
      <c r="I95" s="7">
        <v>20.620156492699568</v>
      </c>
      <c r="J95" s="7"/>
      <c r="K95" s="7"/>
      <c r="L95" s="7"/>
      <c r="M95" s="7"/>
      <c r="N95" s="7"/>
      <c r="O95" s="3" t="str">
        <f>[4]!FormDisp(J95)</f>
        <v/>
      </c>
      <c r="P95" s="3"/>
      <c r="Q95" s="3"/>
      <c r="R95" s="3"/>
      <c r="S95" s="3"/>
      <c r="T95" s="3"/>
      <c r="U95" s="3"/>
    </row>
    <row r="96" spans="1:21" ht="15">
      <c r="A96" s="1">
        <f t="shared" si="14"/>
        <v>96</v>
      </c>
      <c r="B96" s="33" t="s">
        <v>279</v>
      </c>
      <c r="C96" s="4"/>
      <c r="D96" s="7">
        <f>+D12</f>
        <v>24</v>
      </c>
      <c r="E96" s="7">
        <f>D96*(1+E$47)</f>
        <v>25.821599999999997</v>
      </c>
      <c r="F96" s="7">
        <f>E96*(1+F$47)</f>
        <v>27.786623759999998</v>
      </c>
      <c r="G96" s="7">
        <f>F96*(1+G$47)</f>
        <v>29.608036947467998</v>
      </c>
      <c r="H96" s="7">
        <f>G96*(1+H$47)</f>
        <v>31.430411621584653</v>
      </c>
      <c r="I96" s="7">
        <v>33.107538385712402</v>
      </c>
      <c r="J96" s="7"/>
      <c r="K96" s="7"/>
      <c r="L96" s="7"/>
      <c r="M96" s="7"/>
      <c r="N96" s="7"/>
      <c r="O96" s="3" t="str">
        <f>[4]!FormDisp(J96)</f>
        <v/>
      </c>
      <c r="P96" s="3"/>
      <c r="Q96" s="3"/>
      <c r="R96" s="3"/>
      <c r="S96" s="3"/>
      <c r="T96" s="3"/>
      <c r="U96" s="3"/>
    </row>
    <row r="97" spans="1:21" ht="15">
      <c r="A97" s="1">
        <f t="shared" si="14"/>
        <v>97</v>
      </c>
      <c r="B97" s="33" t="s">
        <v>447</v>
      </c>
      <c r="C97" s="4"/>
      <c r="D97" s="1"/>
      <c r="E97" s="7">
        <f>E56*$E$30</f>
        <v>11.443420800000002</v>
      </c>
      <c r="F97" s="7">
        <f>F56*$E$30</f>
        <v>12.303254721123071</v>
      </c>
      <c r="G97" s="7">
        <f>G56*$E$30</f>
        <v>13.332598530250262</v>
      </c>
      <c r="H97" s="7">
        <f>H56*$E$30</f>
        <v>14.379727486217584</v>
      </c>
      <c r="I97" s="7">
        <v>15.465117369524673</v>
      </c>
      <c r="J97" s="7"/>
      <c r="K97" s="7"/>
      <c r="L97" s="7"/>
      <c r="M97" s="7"/>
      <c r="N97" s="7"/>
      <c r="O97" s="3" t="str">
        <f>[4]!FormDisp(J97)</f>
        <v/>
      </c>
      <c r="P97" s="3"/>
      <c r="Q97" s="3"/>
      <c r="R97" s="3"/>
      <c r="S97" s="3"/>
      <c r="T97" s="3"/>
      <c r="U97" s="3"/>
    </row>
    <row r="98" spans="1:21" ht="15">
      <c r="A98" s="1">
        <f t="shared" si="14"/>
        <v>98</v>
      </c>
      <c r="B98" s="6" t="s">
        <v>38</v>
      </c>
      <c r="C98" s="4"/>
      <c r="D98" s="1"/>
      <c r="E98" s="7">
        <f>SUM(E95:E97)</f>
        <v>52.5229152</v>
      </c>
      <c r="F98" s="7">
        <f>SUM(F95:F97)</f>
        <v>56.494218109287161</v>
      </c>
      <c r="G98" s="7">
        <f>SUM(G95:G97)</f>
        <v>60.717433518051948</v>
      </c>
      <c r="H98" s="7">
        <f>SUM(H95:H97)</f>
        <v>64.983109089425682</v>
      </c>
      <c r="I98" s="17">
        <v>69.192812247936644</v>
      </c>
      <c r="J98" s="17">
        <f>+I190*(1+J47)</f>
        <v>73.336428320287823</v>
      </c>
      <c r="K98" s="17">
        <f>+J98*(1+K47)</f>
        <v>77.354491913615973</v>
      </c>
      <c r="L98" s="17">
        <f>+K98*(1+L47)</f>
        <v>81.198535409591571</v>
      </c>
      <c r="M98" s="17">
        <f>+L98*(1+M47)</f>
        <v>85.23360427504997</v>
      </c>
      <c r="N98" s="17">
        <f>+M98*(1+N47)</f>
        <v>89.469191298463571</v>
      </c>
      <c r="O98" s="195" t="str">
        <f>[4]!FormDisp(J98)</f>
        <v>=+I190*(1+J47)</v>
      </c>
      <c r="P98" s="195" t="str">
        <f>[4]!FormDisp(K98)</f>
        <v>=+J98*(1+K47)</v>
      </c>
      <c r="Q98" s="3"/>
      <c r="R98" s="3"/>
      <c r="S98" s="3"/>
      <c r="T98" s="3"/>
      <c r="U98" s="3"/>
    </row>
    <row r="99" spans="1:21" ht="15">
      <c r="A99" s="1">
        <f t="shared" si="14"/>
        <v>99</v>
      </c>
      <c r="B99" s="6"/>
      <c r="C99" s="4"/>
      <c r="D99" s="1"/>
      <c r="E99" s="7"/>
      <c r="F99" s="7"/>
      <c r="G99" s="7"/>
      <c r="H99" s="7"/>
      <c r="I99" s="7"/>
      <c r="J99" s="25"/>
      <c r="K99" s="25"/>
      <c r="L99" s="1"/>
      <c r="M99" s="3"/>
      <c r="N99" s="3"/>
      <c r="O99" s="3" t="str">
        <f>[4]!FormDisp(J99)</f>
        <v/>
      </c>
      <c r="P99" s="3"/>
      <c r="Q99" s="3"/>
      <c r="R99" s="3"/>
      <c r="S99" s="3"/>
      <c r="T99" s="3"/>
      <c r="U99" s="3"/>
    </row>
    <row r="100" spans="1:21" ht="15">
      <c r="A100" s="1">
        <f t="shared" si="14"/>
        <v>100</v>
      </c>
      <c r="B100" s="112" t="s">
        <v>40</v>
      </c>
      <c r="C100" s="68" t="s">
        <v>70</v>
      </c>
      <c r="D100" s="68">
        <v>0</v>
      </c>
      <c r="E100" s="68">
        <v>1</v>
      </c>
      <c r="F100" s="68">
        <v>2</v>
      </c>
      <c r="G100" s="68">
        <v>3</v>
      </c>
      <c r="H100" s="68">
        <v>4</v>
      </c>
      <c r="I100" s="68">
        <v>5</v>
      </c>
      <c r="J100" s="75"/>
      <c r="K100" s="75"/>
      <c r="L100" s="3"/>
      <c r="M100" s="3"/>
      <c r="N100" s="3"/>
      <c r="O100" s="3" t="str">
        <f>[4]!FormDisp(J100)</f>
        <v/>
      </c>
      <c r="P100" s="3"/>
      <c r="Q100" s="3"/>
      <c r="R100" s="3"/>
      <c r="S100" s="3"/>
      <c r="T100" s="3"/>
      <c r="U100" s="3"/>
    </row>
    <row r="101" spans="1:21" ht="15">
      <c r="A101" s="1">
        <f t="shared" si="14"/>
        <v>101</v>
      </c>
      <c r="B101" s="6" t="s">
        <v>41</v>
      </c>
      <c r="C101" s="4"/>
      <c r="D101" s="1"/>
      <c r="E101" s="7">
        <f t="shared" ref="E101:N101" si="27">+E56</f>
        <v>381.44736000000006</v>
      </c>
      <c r="F101" s="7">
        <f t="shared" si="27"/>
        <v>410.10849070410239</v>
      </c>
      <c r="G101" s="7">
        <f t="shared" si="27"/>
        <v>444.41995100834208</v>
      </c>
      <c r="H101" s="7">
        <f t="shared" si="27"/>
        <v>479.32424954058615</v>
      </c>
      <c r="I101" s="7">
        <v>515.50391231748915</v>
      </c>
      <c r="J101" s="7">
        <f t="shared" si="27"/>
        <v>557.86792073095796</v>
      </c>
      <c r="K101" s="7">
        <f t="shared" si="27"/>
        <v>600.81092663841389</v>
      </c>
      <c r="L101" s="7">
        <f t="shared" si="27"/>
        <v>643.93366526941804</v>
      </c>
      <c r="M101" s="7">
        <f t="shared" si="27"/>
        <v>696.85200509452579</v>
      </c>
      <c r="N101" s="7">
        <f t="shared" si="27"/>
        <v>754.11916350279284</v>
      </c>
      <c r="O101" s="3" t="str">
        <f>[4]!FormDisp(J101)</f>
        <v>=+J56</v>
      </c>
      <c r="P101" s="3"/>
      <c r="Q101" s="3"/>
      <c r="R101" s="3"/>
      <c r="S101" s="3"/>
      <c r="T101" s="3"/>
      <c r="U101" s="3"/>
    </row>
    <row r="102" spans="1:21" ht="15">
      <c r="A102" s="1">
        <f t="shared" si="14"/>
        <v>102</v>
      </c>
      <c r="B102" s="33" t="s">
        <v>42</v>
      </c>
      <c r="C102" s="4"/>
      <c r="D102" s="1"/>
      <c r="E102" s="7">
        <f>+E56*(1-E32)</f>
        <v>358.56051840000003</v>
      </c>
      <c r="F102" s="7">
        <f t="shared" ref="F102:M102" si="28">+F56*(1-F32)</f>
        <v>385.5019812618562</v>
      </c>
      <c r="G102" s="7">
        <f t="shared" si="28"/>
        <v>426.64315296800839</v>
      </c>
      <c r="H102" s="7">
        <f t="shared" si="28"/>
        <v>445.77155207274507</v>
      </c>
      <c r="I102" s="7">
        <v>500.03879494796445</v>
      </c>
      <c r="J102" s="7">
        <f t="shared" si="28"/>
        <v>528.85878885294812</v>
      </c>
      <c r="K102" s="7">
        <f t="shared" si="28"/>
        <v>569.56875845321633</v>
      </c>
      <c r="L102" s="7">
        <f t="shared" si="28"/>
        <v>610.44911467540828</v>
      </c>
      <c r="M102" s="7">
        <f t="shared" si="28"/>
        <v>660.61570082961043</v>
      </c>
      <c r="N102" s="7">
        <f>+N56*(1-N32)</f>
        <v>714.90496700064762</v>
      </c>
      <c r="O102" s="3" t="e">
        <f ca="1">[4]!FormDisp(J102)</f>
        <v>#NAME?</v>
      </c>
      <c r="P102" s="3"/>
      <c r="Q102" s="3"/>
      <c r="R102" s="3"/>
      <c r="S102" s="3"/>
      <c r="T102" s="3"/>
      <c r="U102" s="3"/>
    </row>
    <row r="103" spans="1:21" ht="15">
      <c r="A103" s="1">
        <f t="shared" si="14"/>
        <v>103</v>
      </c>
      <c r="B103" s="6" t="s">
        <v>43</v>
      </c>
      <c r="C103" s="4"/>
      <c r="D103" s="1"/>
      <c r="E103" s="7">
        <f t="shared" ref="E103:N103" si="29">+E101*E32</f>
        <v>22.886841600000004</v>
      </c>
      <c r="F103" s="7">
        <f t="shared" si="29"/>
        <v>24.606509442246143</v>
      </c>
      <c r="G103" s="7">
        <f t="shared" si="29"/>
        <v>17.776798040333684</v>
      </c>
      <c r="H103" s="7">
        <f t="shared" si="29"/>
        <v>33.552697467841035</v>
      </c>
      <c r="I103" s="7">
        <v>15.465117369524673</v>
      </c>
      <c r="J103" s="7">
        <f t="shared" si="29"/>
        <v>29.009131878009818</v>
      </c>
      <c r="K103" s="7">
        <f t="shared" si="29"/>
        <v>31.242168185197524</v>
      </c>
      <c r="L103" s="7">
        <f t="shared" si="29"/>
        <v>33.48455059400974</v>
      </c>
      <c r="M103" s="7">
        <f t="shared" si="29"/>
        <v>36.236304264915347</v>
      </c>
      <c r="N103" s="7">
        <f t="shared" si="29"/>
        <v>39.214196502145228</v>
      </c>
      <c r="O103" s="3" t="e">
        <f ca="1">[4]!FormDisp(J103)</f>
        <v>#NAME?</v>
      </c>
      <c r="P103" s="3"/>
      <c r="Q103" s="3"/>
      <c r="R103" s="3"/>
      <c r="S103" s="3"/>
      <c r="T103" s="3"/>
      <c r="U103" s="3"/>
    </row>
    <row r="104" spans="1:21" ht="15">
      <c r="A104" s="1">
        <f t="shared" si="14"/>
        <v>104</v>
      </c>
      <c r="B104" s="6" t="s">
        <v>44</v>
      </c>
      <c r="C104" s="4"/>
      <c r="D104" s="1"/>
      <c r="E104" s="7">
        <f t="shared" ref="E104:N104" si="30">+E89</f>
        <v>272.98312499999997</v>
      </c>
      <c r="F104" s="7">
        <f t="shared" si="30"/>
        <v>289.84186157266674</v>
      </c>
      <c r="G104" s="7">
        <f t="shared" si="30"/>
        <v>317.55720714622652</v>
      </c>
      <c r="H104" s="7">
        <f t="shared" si="30"/>
        <v>335.0816111146811</v>
      </c>
      <c r="I104" s="7">
        <v>360.53544403478577</v>
      </c>
      <c r="J104" s="7">
        <f t="shared" si="30"/>
        <v>389.31956327179233</v>
      </c>
      <c r="K104" s="7">
        <f t="shared" si="30"/>
        <v>416.97249329843936</v>
      </c>
      <c r="L104" s="7">
        <f t="shared" si="30"/>
        <v>444.79913179008605</v>
      </c>
      <c r="M104" s="7">
        <f t="shared" si="30"/>
        <v>479.46797250686075</v>
      </c>
      <c r="N104" s="7">
        <f t="shared" si="30"/>
        <v>516.43092565617076</v>
      </c>
      <c r="O104" s="3" t="e">
        <f ca="1">[4]!FormDisp(J104)</f>
        <v>#NAME?</v>
      </c>
      <c r="P104" s="3"/>
      <c r="Q104" s="3"/>
      <c r="R104" s="3"/>
      <c r="S104" s="3"/>
      <c r="T104" s="3"/>
      <c r="U104" s="3"/>
    </row>
    <row r="105" spans="1:21" ht="15">
      <c r="A105" s="1">
        <f t="shared" si="14"/>
        <v>105</v>
      </c>
      <c r="B105" s="6" t="s">
        <v>45</v>
      </c>
      <c r="C105" s="4"/>
      <c r="D105" s="7">
        <f>+D89</f>
        <v>20</v>
      </c>
      <c r="E105" s="7">
        <f t="shared" ref="E105:N105" si="31">+E89*(1-E33)</f>
        <v>245.68481249999999</v>
      </c>
      <c r="F105" s="7">
        <f t="shared" si="31"/>
        <v>257.95925679967343</v>
      </c>
      <c r="G105" s="7">
        <f t="shared" si="31"/>
        <v>279.45034228867934</v>
      </c>
      <c r="H105" s="7">
        <f t="shared" si="31"/>
        <v>311.62589833665339</v>
      </c>
      <c r="I105" s="7">
        <v>331.69260851200295</v>
      </c>
      <c r="J105" s="7">
        <f t="shared" si="31"/>
        <v>351.94488519770027</v>
      </c>
      <c r="K105" s="7">
        <f t="shared" si="31"/>
        <v>376.9431339417892</v>
      </c>
      <c r="L105" s="7">
        <f t="shared" si="31"/>
        <v>402.09841513823778</v>
      </c>
      <c r="M105" s="7">
        <f t="shared" si="31"/>
        <v>433.43904714620214</v>
      </c>
      <c r="N105" s="7">
        <f t="shared" si="31"/>
        <v>466.85355679317837</v>
      </c>
      <c r="O105" s="3" t="e">
        <f ca="1">[4]!FormDisp(J105)</f>
        <v>#NAME?</v>
      </c>
      <c r="P105" s="3"/>
      <c r="Q105" s="3"/>
      <c r="R105" s="3"/>
      <c r="S105" s="3"/>
      <c r="T105" s="3"/>
      <c r="U105" s="3"/>
    </row>
    <row r="106" spans="1:21" ht="15">
      <c r="A106" s="1">
        <f t="shared" si="14"/>
        <v>106</v>
      </c>
      <c r="B106" s="6" t="s">
        <v>46</v>
      </c>
      <c r="C106" s="4"/>
      <c r="D106" s="7">
        <f>D89-D105</f>
        <v>0</v>
      </c>
      <c r="E106" s="7">
        <f t="shared" ref="E106:N106" si="32">+E104-E105</f>
        <v>27.29831249999998</v>
      </c>
      <c r="F106" s="7">
        <f t="shared" si="32"/>
        <v>31.882604772993318</v>
      </c>
      <c r="G106" s="7">
        <f t="shared" si="32"/>
        <v>38.10686485754718</v>
      </c>
      <c r="H106" s="7">
        <f t="shared" si="32"/>
        <v>23.455712778027703</v>
      </c>
      <c r="I106" s="7">
        <v>28.842835522782821</v>
      </c>
      <c r="J106" s="7">
        <f t="shared" si="32"/>
        <v>37.37467807409206</v>
      </c>
      <c r="K106" s="7">
        <f t="shared" si="32"/>
        <v>40.029359356650161</v>
      </c>
      <c r="L106" s="7">
        <f t="shared" si="32"/>
        <v>42.700716651848268</v>
      </c>
      <c r="M106" s="7">
        <f t="shared" si="32"/>
        <v>46.028925360658604</v>
      </c>
      <c r="N106" s="7">
        <f t="shared" si="32"/>
        <v>49.577368862992387</v>
      </c>
      <c r="O106" s="3" t="e">
        <f ca="1">[4]!FormDisp(J106)</f>
        <v>#NAME?</v>
      </c>
      <c r="P106" s="3"/>
      <c r="Q106" s="3"/>
      <c r="R106" s="3"/>
      <c r="S106" s="3"/>
      <c r="T106" s="3"/>
      <c r="U106" s="3"/>
    </row>
    <row r="107" spans="1:21" ht="12.75">
      <c r="A107" s="1">
        <f t="shared" si="14"/>
        <v>107</v>
      </c>
      <c r="B107" s="3"/>
      <c r="C107" s="3"/>
      <c r="D107" s="3"/>
      <c r="E107" s="3"/>
      <c r="F107" s="3"/>
      <c r="G107" s="3"/>
      <c r="H107" s="3"/>
      <c r="I107" s="3"/>
      <c r="J107" s="25"/>
      <c r="K107" s="25"/>
      <c r="L107" s="3"/>
      <c r="M107" s="3"/>
      <c r="N107" s="3"/>
      <c r="O107" s="3" t="str">
        <f>[4]!FormDisp(J107)</f>
        <v/>
      </c>
      <c r="P107" s="3"/>
      <c r="Q107" s="3"/>
      <c r="R107" s="3"/>
      <c r="S107" s="3"/>
      <c r="T107" s="3"/>
      <c r="U107" s="3"/>
    </row>
    <row r="108" spans="1:21" ht="15">
      <c r="A108" s="1">
        <f t="shared" si="14"/>
        <v>108</v>
      </c>
      <c r="B108" s="112" t="s">
        <v>47</v>
      </c>
      <c r="C108" s="68" t="s">
        <v>70</v>
      </c>
      <c r="D108" s="68">
        <v>0</v>
      </c>
      <c r="E108" s="68">
        <v>1</v>
      </c>
      <c r="F108" s="68">
        <v>2</v>
      </c>
      <c r="G108" s="68">
        <v>3</v>
      </c>
      <c r="H108" s="68">
        <v>4</v>
      </c>
      <c r="I108" s="68">
        <v>5</v>
      </c>
      <c r="J108" s="25"/>
      <c r="K108" s="25"/>
      <c r="L108" s="3"/>
      <c r="M108" s="3"/>
      <c r="N108" s="3"/>
      <c r="O108" s="3" t="str">
        <f>[4]!FormDisp(J108)</f>
        <v/>
      </c>
      <c r="P108" s="3"/>
      <c r="Q108" s="3"/>
      <c r="R108" s="3"/>
      <c r="S108" s="3"/>
      <c r="T108" s="3"/>
      <c r="U108" s="3"/>
    </row>
    <row r="109" spans="1:21" ht="15">
      <c r="A109" s="1">
        <f t="shared" si="14"/>
        <v>109</v>
      </c>
      <c r="B109" s="33" t="s">
        <v>42</v>
      </c>
      <c r="C109" s="4"/>
      <c r="D109" s="7">
        <f t="shared" ref="D109:H109" si="33">+D102</f>
        <v>0</v>
      </c>
      <c r="E109" s="7">
        <f t="shared" si="33"/>
        <v>358.56051840000003</v>
      </c>
      <c r="F109" s="7">
        <f t="shared" si="33"/>
        <v>385.5019812618562</v>
      </c>
      <c r="G109" s="7">
        <f t="shared" si="33"/>
        <v>426.64315296800839</v>
      </c>
      <c r="H109" s="7">
        <f t="shared" si="33"/>
        <v>445.77155207274507</v>
      </c>
      <c r="I109" s="7">
        <v>500.03879494796445</v>
      </c>
      <c r="J109" s="7">
        <f>+J102</f>
        <v>528.85878885294812</v>
      </c>
      <c r="K109" s="7">
        <f>+K102</f>
        <v>569.56875845321633</v>
      </c>
      <c r="L109" s="7">
        <f>+L102</f>
        <v>610.44911467540828</v>
      </c>
      <c r="M109" s="7">
        <f>+M102</f>
        <v>660.61570082961043</v>
      </c>
      <c r="N109" s="7">
        <f>+N102</f>
        <v>714.90496700064762</v>
      </c>
      <c r="O109" s="3" t="e">
        <f ca="1">[4]!FormDisp(J109)</f>
        <v>#NAME?</v>
      </c>
      <c r="P109" s="3"/>
      <c r="Q109" s="3"/>
      <c r="R109" s="3"/>
      <c r="S109" s="3"/>
      <c r="T109" s="3"/>
      <c r="U109" s="3"/>
    </row>
    <row r="110" spans="1:21" ht="15">
      <c r="A110" s="1">
        <f t="shared" si="14"/>
        <v>110</v>
      </c>
      <c r="B110" s="6" t="s">
        <v>48</v>
      </c>
      <c r="C110" s="4"/>
      <c r="D110" s="7">
        <f t="shared" ref="D110:H110" si="34">C103</f>
        <v>0</v>
      </c>
      <c r="E110" s="7">
        <f t="shared" si="34"/>
        <v>0</v>
      </c>
      <c r="F110" s="7">
        <f t="shared" si="34"/>
        <v>22.886841600000004</v>
      </c>
      <c r="G110" s="7">
        <f t="shared" si="34"/>
        <v>24.606509442246143</v>
      </c>
      <c r="H110" s="7">
        <f t="shared" si="34"/>
        <v>17.776798040333684</v>
      </c>
      <c r="I110" s="7">
        <v>33.552697467841035</v>
      </c>
      <c r="J110" s="7">
        <f>+I205</f>
        <v>15.465117369524673</v>
      </c>
      <c r="K110" s="7">
        <f>J103</f>
        <v>29.009131878009818</v>
      </c>
      <c r="L110" s="7">
        <f>K103</f>
        <v>31.242168185197524</v>
      </c>
      <c r="M110" s="7">
        <f>L103</f>
        <v>33.48455059400974</v>
      </c>
      <c r="N110" s="7">
        <f>M103</f>
        <v>36.236304264915347</v>
      </c>
      <c r="O110" s="195" t="str">
        <f>[4]!FormDisp(J110)</f>
        <v>=+I205</v>
      </c>
      <c r="P110" s="195" t="e">
        <f ca="1">[4]!FormDisp(K110)</f>
        <v>#NAME?</v>
      </c>
      <c r="Q110" s="3"/>
      <c r="R110" s="3"/>
      <c r="S110" s="3"/>
      <c r="T110" s="3"/>
      <c r="U110" s="3"/>
    </row>
    <row r="111" spans="1:21" ht="15">
      <c r="A111" s="1">
        <f t="shared" si="14"/>
        <v>111</v>
      </c>
      <c r="B111" s="6" t="s">
        <v>49</v>
      </c>
      <c r="C111" s="4"/>
      <c r="D111" s="7">
        <f t="shared" ref="D111:H111" si="35">+D110+D109</f>
        <v>0</v>
      </c>
      <c r="E111" s="7">
        <f t="shared" si="35"/>
        <v>358.56051840000003</v>
      </c>
      <c r="F111" s="7">
        <f t="shared" si="35"/>
        <v>408.38882286185623</v>
      </c>
      <c r="G111" s="7">
        <f t="shared" si="35"/>
        <v>451.24966241025453</v>
      </c>
      <c r="H111" s="7">
        <f t="shared" si="35"/>
        <v>463.54835011307875</v>
      </c>
      <c r="I111" s="7">
        <v>533.59149241580553</v>
      </c>
      <c r="J111" s="7">
        <f>+J110+J109</f>
        <v>544.32390622247283</v>
      </c>
      <c r="K111" s="7">
        <f>+K110+K109</f>
        <v>598.57789033122617</v>
      </c>
      <c r="L111" s="7">
        <f>+L110+L109</f>
        <v>641.69128286060584</v>
      </c>
      <c r="M111" s="7">
        <f>+M110+M109</f>
        <v>694.10025142362019</v>
      </c>
      <c r="N111" s="7">
        <f>+N110+N109</f>
        <v>751.14127126556298</v>
      </c>
      <c r="O111" s="3" t="e">
        <f ca="1">[4]!FormDisp(J111)</f>
        <v>#NAME?</v>
      </c>
      <c r="P111" s="3"/>
      <c r="Q111" s="3"/>
      <c r="R111" s="3"/>
      <c r="S111" s="3"/>
      <c r="T111" s="3"/>
      <c r="U111" s="3"/>
    </row>
    <row r="112" spans="1:21" ht="15">
      <c r="A112" s="1">
        <f t="shared" si="14"/>
        <v>112</v>
      </c>
      <c r="B112" s="6" t="s">
        <v>50</v>
      </c>
      <c r="C112" s="4"/>
      <c r="D112" s="7">
        <f t="shared" ref="D112:H112" si="36">+D105</f>
        <v>20</v>
      </c>
      <c r="E112" s="7">
        <f t="shared" si="36"/>
        <v>245.68481249999999</v>
      </c>
      <c r="F112" s="7">
        <f t="shared" si="36"/>
        <v>257.95925679967343</v>
      </c>
      <c r="G112" s="7">
        <f t="shared" si="36"/>
        <v>279.45034228867934</v>
      </c>
      <c r="H112" s="7">
        <f t="shared" si="36"/>
        <v>311.62589833665339</v>
      </c>
      <c r="I112" s="7">
        <v>331.69260851200295</v>
      </c>
      <c r="J112" s="7">
        <f>+J105</f>
        <v>351.94488519770027</v>
      </c>
      <c r="K112" s="7">
        <f>+K105</f>
        <v>376.9431339417892</v>
      </c>
      <c r="L112" s="7">
        <f>+L105</f>
        <v>402.09841513823778</v>
      </c>
      <c r="M112" s="7">
        <f>+M105</f>
        <v>433.43904714620214</v>
      </c>
      <c r="N112" s="7">
        <f>+N105</f>
        <v>466.85355679317837</v>
      </c>
      <c r="O112" s="3" t="e">
        <f ca="1">[4]!FormDisp(J112)</f>
        <v>#NAME?</v>
      </c>
      <c r="P112" s="3"/>
      <c r="Q112" s="3"/>
      <c r="R112" s="3"/>
      <c r="S112" s="3"/>
      <c r="T112" s="3"/>
      <c r="U112" s="3"/>
    </row>
    <row r="113" spans="1:21" ht="15">
      <c r="A113" s="1">
        <f t="shared" si="14"/>
        <v>113</v>
      </c>
      <c r="B113" s="6" t="s">
        <v>51</v>
      </c>
      <c r="C113" s="4"/>
      <c r="D113" s="7">
        <f t="shared" ref="D113:H113" si="37">C106</f>
        <v>0</v>
      </c>
      <c r="E113" s="7">
        <f t="shared" si="37"/>
        <v>0</v>
      </c>
      <c r="F113" s="7">
        <f t="shared" si="37"/>
        <v>27.29831249999998</v>
      </c>
      <c r="G113" s="7">
        <f t="shared" si="37"/>
        <v>31.882604772993318</v>
      </c>
      <c r="H113" s="7">
        <f t="shared" si="37"/>
        <v>38.10686485754718</v>
      </c>
      <c r="I113" s="7">
        <v>23.455712778027703</v>
      </c>
      <c r="J113" s="7">
        <f>+I214</f>
        <v>28.842835522782821</v>
      </c>
      <c r="K113" s="7">
        <f>J106</f>
        <v>37.37467807409206</v>
      </c>
      <c r="L113" s="7">
        <f>K106</f>
        <v>40.029359356650161</v>
      </c>
      <c r="M113" s="7">
        <f>L106</f>
        <v>42.700716651848268</v>
      </c>
      <c r="N113" s="7">
        <f>M106</f>
        <v>46.028925360658604</v>
      </c>
      <c r="O113" s="195" t="str">
        <f>[4]!FormDisp(J113)</f>
        <v>=+I214</v>
      </c>
      <c r="P113" s="195" t="e">
        <f ca="1">[4]!FormDisp(K113)</f>
        <v>#NAME?</v>
      </c>
      <c r="Q113" s="3"/>
      <c r="R113" s="3"/>
      <c r="S113" s="3"/>
      <c r="T113" s="3"/>
      <c r="U113" s="3"/>
    </row>
    <row r="114" spans="1:21" ht="15">
      <c r="A114" s="1">
        <f t="shared" si="14"/>
        <v>114</v>
      </c>
      <c r="B114" s="33" t="s">
        <v>52</v>
      </c>
      <c r="C114" s="4"/>
      <c r="D114" s="7">
        <f t="shared" ref="D114:H114" si="38">+D113+D112</f>
        <v>20</v>
      </c>
      <c r="E114" s="7">
        <f t="shared" si="38"/>
        <v>245.68481249999999</v>
      </c>
      <c r="F114" s="7">
        <f t="shared" si="38"/>
        <v>285.25756929967338</v>
      </c>
      <c r="G114" s="7">
        <f t="shared" si="38"/>
        <v>311.33294706167266</v>
      </c>
      <c r="H114" s="7">
        <f t="shared" si="38"/>
        <v>349.73276319420057</v>
      </c>
      <c r="I114" s="7">
        <v>355.14832129003065</v>
      </c>
      <c r="J114" s="7">
        <f>+J113+J112</f>
        <v>380.78772072048309</v>
      </c>
      <c r="K114" s="7">
        <f>+K113+K112</f>
        <v>414.31781201588126</v>
      </c>
      <c r="L114" s="7">
        <f>+L113+L112</f>
        <v>442.12777449488794</v>
      </c>
      <c r="M114" s="7">
        <f>+M113+M112</f>
        <v>476.13976379805041</v>
      </c>
      <c r="N114" s="7">
        <f>+N113+N112</f>
        <v>512.88248215383692</v>
      </c>
      <c r="O114" s="3" t="e">
        <f ca="1">[4]!FormDisp(J114)</f>
        <v>#NAME?</v>
      </c>
      <c r="P114" s="3"/>
      <c r="Q114" s="3"/>
      <c r="R114" s="3"/>
      <c r="S114" s="3"/>
      <c r="T114" s="3"/>
      <c r="U114" s="3"/>
    </row>
    <row r="115" spans="1:21" ht="12.75">
      <c r="A115" s="1">
        <f t="shared" si="14"/>
        <v>115</v>
      </c>
      <c r="O115" s="3" t="str">
        <f>[4]!FormDisp(J115)</f>
        <v/>
      </c>
    </row>
    <row r="116" spans="1:21" ht="15.75" thickBot="1">
      <c r="A116" s="1">
        <f t="shared" si="14"/>
        <v>116</v>
      </c>
      <c r="B116" s="108" t="s">
        <v>222</v>
      </c>
      <c r="J116" s="25"/>
      <c r="K116" s="25"/>
      <c r="L116" s="1"/>
      <c r="M116" s="3"/>
      <c r="N116" s="3"/>
      <c r="O116" s="3" t="str">
        <f>[4]!FormDisp(J116)</f>
        <v/>
      </c>
      <c r="P116" s="53"/>
      <c r="Q116" s="53"/>
      <c r="R116" s="53"/>
      <c r="S116" s="53"/>
      <c r="T116" s="3"/>
      <c r="U116" s="3"/>
    </row>
    <row r="117" spans="1:21" ht="26.25" thickBot="1">
      <c r="A117" s="1">
        <f t="shared" si="14"/>
        <v>117</v>
      </c>
      <c r="B117" s="110" t="s">
        <v>223</v>
      </c>
      <c r="C117" s="69" t="s">
        <v>70</v>
      </c>
      <c r="D117" s="69">
        <v>0</v>
      </c>
      <c r="E117" s="69">
        <v>1</v>
      </c>
      <c r="F117" s="69">
        <v>2</v>
      </c>
      <c r="G117" s="69">
        <v>3</v>
      </c>
      <c r="H117" s="69">
        <v>4</v>
      </c>
      <c r="I117" s="69">
        <v>5</v>
      </c>
      <c r="J117" s="75"/>
      <c r="K117" s="75"/>
      <c r="L117" s="1"/>
      <c r="M117" s="3"/>
      <c r="N117" s="3"/>
      <c r="O117" s="3" t="str">
        <f>[4]!FormDisp(J117)</f>
        <v/>
      </c>
      <c r="P117" s="3"/>
      <c r="Q117" s="3"/>
      <c r="R117" s="3"/>
      <c r="S117" s="3"/>
      <c r="T117" s="3"/>
      <c r="U117" s="3"/>
    </row>
    <row r="118" spans="1:21" ht="15">
      <c r="A118" s="1">
        <f t="shared" si="14"/>
        <v>118</v>
      </c>
      <c r="B118" s="50" t="s">
        <v>224</v>
      </c>
      <c r="C118" s="4"/>
      <c r="D118" s="7"/>
      <c r="E118" s="42"/>
      <c r="F118" s="42"/>
      <c r="G118" s="42"/>
      <c r="H118" s="42"/>
      <c r="I118" s="42"/>
      <c r="J118" s="25"/>
      <c r="K118" s="25"/>
      <c r="L118" s="1"/>
      <c r="M118" s="3"/>
      <c r="N118" s="3"/>
      <c r="O118" s="3" t="str">
        <f>[4]!FormDisp(J118)</f>
        <v/>
      </c>
      <c r="P118" s="9"/>
      <c r="Q118" s="9"/>
      <c r="R118" s="9"/>
      <c r="S118" s="9"/>
      <c r="T118" s="3"/>
      <c r="U118" s="3"/>
    </row>
    <row r="119" spans="1:21" ht="30">
      <c r="A119" s="1">
        <f t="shared" si="14"/>
        <v>119</v>
      </c>
      <c r="B119" s="50" t="s">
        <v>225</v>
      </c>
      <c r="C119" s="4"/>
      <c r="D119" s="1"/>
      <c r="E119" s="17">
        <f t="shared" ref="E119:N119" si="39">+E111</f>
        <v>358.56051840000003</v>
      </c>
      <c r="F119" s="17">
        <f t="shared" si="39"/>
        <v>408.38882286185623</v>
      </c>
      <c r="G119" s="17">
        <f t="shared" si="39"/>
        <v>451.24966241025453</v>
      </c>
      <c r="H119" s="17">
        <f t="shared" si="39"/>
        <v>463.54835011307875</v>
      </c>
      <c r="I119" s="17">
        <v>533.59149241580553</v>
      </c>
      <c r="J119" s="17">
        <f t="shared" si="39"/>
        <v>544.32390622247283</v>
      </c>
      <c r="K119" s="17">
        <f t="shared" si="39"/>
        <v>598.57789033122617</v>
      </c>
      <c r="L119" s="17">
        <f t="shared" si="39"/>
        <v>641.69128286060584</v>
      </c>
      <c r="M119" s="17">
        <f t="shared" si="39"/>
        <v>694.10025142362019</v>
      </c>
      <c r="N119" s="17">
        <f t="shared" si="39"/>
        <v>751.14127126556298</v>
      </c>
      <c r="O119" s="3" t="e">
        <f ca="1">[4]!FormDisp(J119)</f>
        <v>#NAME?</v>
      </c>
      <c r="P119" s="9"/>
      <c r="Q119" s="9"/>
      <c r="R119" s="9"/>
      <c r="S119" s="9"/>
      <c r="T119" s="3"/>
      <c r="U119" s="3"/>
    </row>
    <row r="120" spans="1:21" ht="15">
      <c r="A120" s="1">
        <f t="shared" si="14"/>
        <v>120</v>
      </c>
      <c r="B120" s="50" t="s">
        <v>226</v>
      </c>
      <c r="C120" s="4"/>
      <c r="D120" s="7">
        <f>SUM(D118:D119)</f>
        <v>0</v>
      </c>
      <c r="E120" s="17">
        <f t="shared" ref="E120:N120" si="40">E119</f>
        <v>358.56051840000003</v>
      </c>
      <c r="F120" s="17">
        <f t="shared" si="40"/>
        <v>408.38882286185623</v>
      </c>
      <c r="G120" s="17">
        <f t="shared" si="40"/>
        <v>451.24966241025453</v>
      </c>
      <c r="H120" s="17">
        <f t="shared" si="40"/>
        <v>463.54835011307875</v>
      </c>
      <c r="I120" s="17">
        <v>533.59149241580553</v>
      </c>
      <c r="J120" s="17">
        <f t="shared" si="40"/>
        <v>544.32390622247283</v>
      </c>
      <c r="K120" s="17">
        <f t="shared" si="40"/>
        <v>598.57789033122617</v>
      </c>
      <c r="L120" s="17">
        <f t="shared" si="40"/>
        <v>641.69128286060584</v>
      </c>
      <c r="M120" s="17">
        <f t="shared" si="40"/>
        <v>694.10025142362019</v>
      </c>
      <c r="N120" s="17">
        <f t="shared" si="40"/>
        <v>751.14127126556298</v>
      </c>
      <c r="O120" s="3" t="e">
        <f ca="1">[4]!FormDisp(J120)</f>
        <v>#NAME?</v>
      </c>
      <c r="P120" s="53"/>
      <c r="Q120" s="53"/>
      <c r="R120" s="53"/>
      <c r="S120" s="53"/>
      <c r="T120" s="3"/>
      <c r="U120" s="3"/>
    </row>
    <row r="121" spans="1:21" ht="15">
      <c r="A121" s="1">
        <f t="shared" si="14"/>
        <v>121</v>
      </c>
      <c r="B121" s="50" t="s">
        <v>227</v>
      </c>
      <c r="C121" s="4"/>
      <c r="D121" s="1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3" t="str">
        <f>[4]!FormDisp(J121)</f>
        <v/>
      </c>
      <c r="P121" s="9"/>
      <c r="Q121" s="3"/>
      <c r="R121" s="3"/>
      <c r="S121" s="3"/>
      <c r="T121" s="3"/>
      <c r="U121" s="3"/>
    </row>
    <row r="122" spans="1:21" ht="30">
      <c r="A122" s="1">
        <f t="shared" si="14"/>
        <v>122</v>
      </c>
      <c r="B122" s="50" t="s">
        <v>228</v>
      </c>
      <c r="C122" s="4"/>
      <c r="D122" s="7">
        <f>+D89</f>
        <v>20</v>
      </c>
      <c r="E122" s="17">
        <f t="shared" ref="E122:N122" si="41">+E114</f>
        <v>245.68481249999999</v>
      </c>
      <c r="F122" s="17">
        <f t="shared" si="41"/>
        <v>285.25756929967338</v>
      </c>
      <c r="G122" s="17">
        <f t="shared" si="41"/>
        <v>311.33294706167266</v>
      </c>
      <c r="H122" s="17">
        <f t="shared" si="41"/>
        <v>349.73276319420057</v>
      </c>
      <c r="I122" s="17">
        <v>355.14832129003065</v>
      </c>
      <c r="J122" s="17">
        <f t="shared" si="41"/>
        <v>380.78772072048309</v>
      </c>
      <c r="K122" s="17">
        <f t="shared" si="41"/>
        <v>414.31781201588126</v>
      </c>
      <c r="L122" s="17">
        <f t="shared" si="41"/>
        <v>442.12777449488794</v>
      </c>
      <c r="M122" s="17">
        <f t="shared" si="41"/>
        <v>476.13976379805041</v>
      </c>
      <c r="N122" s="17">
        <f t="shared" si="41"/>
        <v>512.88248215383692</v>
      </c>
      <c r="O122" s="3" t="e">
        <f ca="1">[4]!FormDisp(J122)</f>
        <v>#NAME?</v>
      </c>
      <c r="P122" s="9"/>
      <c r="Q122" s="9"/>
      <c r="R122" s="9"/>
      <c r="S122" s="9"/>
      <c r="T122" s="3"/>
      <c r="U122" s="3"/>
    </row>
    <row r="123" spans="1:21" ht="30">
      <c r="A123" s="1">
        <f t="shared" si="14"/>
        <v>123</v>
      </c>
      <c r="B123" s="50" t="s">
        <v>315</v>
      </c>
      <c r="C123" s="4"/>
      <c r="D123" s="1"/>
      <c r="E123" s="17">
        <f t="shared" ref="E123:N123" si="42">+E98+E92</f>
        <v>75.959515199999998</v>
      </c>
      <c r="F123" s="17">
        <f t="shared" si="42"/>
        <v>81.467087239287167</v>
      </c>
      <c r="G123" s="17">
        <f t="shared" si="42"/>
        <v>87.169195957930555</v>
      </c>
      <c r="H123" s="17">
        <f t="shared" si="42"/>
        <v>92.979654455793195</v>
      </c>
      <c r="I123" s="17">
        <v>98.800278834684946</v>
      </c>
      <c r="J123" s="17">
        <f t="shared" si="42"/>
        <v>104.38992357513291</v>
      </c>
      <c r="K123" s="17">
        <f t="shared" si="42"/>
        <v>109.76805262688512</v>
      </c>
      <c r="L123" s="17">
        <f t="shared" si="42"/>
        <v>114.86828366830346</v>
      </c>
      <c r="M123" s="17">
        <f t="shared" si="42"/>
        <v>120.20822362752824</v>
      </c>
      <c r="N123" s="17">
        <f t="shared" si="42"/>
        <v>125.79925202394713</v>
      </c>
      <c r="O123" s="3" t="str">
        <f>[4]!FormDisp(J123)</f>
        <v>=+J98+J92</v>
      </c>
      <c r="P123" s="9"/>
      <c r="Q123" s="9"/>
      <c r="R123" s="9"/>
      <c r="S123" s="9"/>
      <c r="T123" s="3"/>
      <c r="U123" s="3"/>
    </row>
    <row r="124" spans="1:21" ht="15">
      <c r="A124" s="1">
        <f t="shared" si="14"/>
        <v>124</v>
      </c>
      <c r="B124" s="50" t="s">
        <v>217</v>
      </c>
      <c r="C124" s="4"/>
      <c r="D124" s="1"/>
      <c r="E124" s="17">
        <f t="shared" ref="E124:N124" si="43">+E196</f>
        <v>5.2356306800000336</v>
      </c>
      <c r="F124" s="17">
        <f t="shared" si="43"/>
        <v>8.3733174377377875</v>
      </c>
      <c r="G124" s="17">
        <f t="shared" si="43"/>
        <v>10.639019452792351</v>
      </c>
      <c r="H124" s="17">
        <f t="shared" si="43"/>
        <v>13.972119632014518</v>
      </c>
      <c r="I124" s="17">
        <v>12.883366360535225</v>
      </c>
      <c r="J124" s="17">
        <f t="shared" si="43"/>
        <v>17.288658526111309</v>
      </c>
      <c r="K124" s="17">
        <f t="shared" si="43"/>
        <v>19.741995653653969</v>
      </c>
      <c r="L124" s="17">
        <f t="shared" si="43"/>
        <v>22.087767151633049</v>
      </c>
      <c r="M124" s="17">
        <f t="shared" si="43"/>
        <v>22.983270766250509</v>
      </c>
      <c r="N124" s="17">
        <f t="shared" si="43"/>
        <v>25.91000487281373</v>
      </c>
      <c r="O124" s="3" t="e">
        <f ca="1">[4]!FormDisp(J124)</f>
        <v>#NAME?</v>
      </c>
      <c r="P124" s="9"/>
      <c r="Q124" s="9"/>
      <c r="R124" s="9"/>
      <c r="S124" s="9"/>
      <c r="T124" s="3"/>
      <c r="U124" s="3"/>
    </row>
    <row r="125" spans="1:21" ht="15">
      <c r="A125" s="1">
        <f t="shared" si="14"/>
        <v>125</v>
      </c>
      <c r="B125" s="50" t="s">
        <v>230</v>
      </c>
      <c r="C125" s="4"/>
      <c r="D125" s="7">
        <f>SUM(D121:D124)</f>
        <v>20</v>
      </c>
      <c r="E125" s="17">
        <f t="shared" ref="E125:N125" si="44">SUM(E122:E124)</f>
        <v>326.87995838000001</v>
      </c>
      <c r="F125" s="17">
        <f t="shared" si="44"/>
        <v>375.09797397669831</v>
      </c>
      <c r="G125" s="17">
        <f t="shared" si="44"/>
        <v>409.14116247239554</v>
      </c>
      <c r="H125" s="17">
        <f t="shared" si="44"/>
        <v>456.68453728200831</v>
      </c>
      <c r="I125" s="17">
        <v>466.8319664852508</v>
      </c>
      <c r="J125" s="17">
        <f t="shared" si="44"/>
        <v>502.46630282172731</v>
      </c>
      <c r="K125" s="17">
        <f t="shared" si="44"/>
        <v>543.82786029642034</v>
      </c>
      <c r="L125" s="17">
        <f t="shared" si="44"/>
        <v>579.08382531482448</v>
      </c>
      <c r="M125" s="17">
        <f t="shared" si="44"/>
        <v>619.33125819182908</v>
      </c>
      <c r="N125" s="17">
        <f t="shared" si="44"/>
        <v>664.59173905059777</v>
      </c>
      <c r="O125" s="3" t="e">
        <f ca="1">[4]!FormDisp(J125)</f>
        <v>#NAME?</v>
      </c>
      <c r="P125" s="3"/>
      <c r="Q125" s="3"/>
      <c r="R125" s="31"/>
      <c r="S125" s="31"/>
      <c r="T125" s="3"/>
      <c r="U125" s="3"/>
    </row>
    <row r="126" spans="1:21" ht="43.5" thickBot="1">
      <c r="A126" s="1">
        <f t="shared" si="14"/>
        <v>126</v>
      </c>
      <c r="B126" s="64" t="s">
        <v>231</v>
      </c>
      <c r="C126" s="4"/>
      <c r="D126" s="7">
        <f t="shared" ref="D126:H126" si="45">D120-D125</f>
        <v>-20</v>
      </c>
      <c r="E126" s="17">
        <f t="shared" si="45"/>
        <v>31.68056002000003</v>
      </c>
      <c r="F126" s="17">
        <f t="shared" si="45"/>
        <v>33.290848885157914</v>
      </c>
      <c r="G126" s="17">
        <f t="shared" si="45"/>
        <v>42.108499937858994</v>
      </c>
      <c r="H126" s="17">
        <f t="shared" si="45"/>
        <v>6.8638128310704474</v>
      </c>
      <c r="I126" s="17">
        <v>66.75952593055473</v>
      </c>
      <c r="J126" s="17">
        <f>J120-J125</f>
        <v>41.857603400745518</v>
      </c>
      <c r="K126" s="17">
        <f>K120-K125</f>
        <v>54.750030034805832</v>
      </c>
      <c r="L126" s="17">
        <f>L120-L125</f>
        <v>62.607457545781358</v>
      </c>
      <c r="M126" s="17">
        <f>M120-M125</f>
        <v>74.768993231791114</v>
      </c>
      <c r="N126" s="17">
        <f>N120-N125</f>
        <v>86.549532214965211</v>
      </c>
      <c r="O126" s="3" t="e">
        <f ca="1">[4]!FormDisp(J126)</f>
        <v>#NAME?</v>
      </c>
      <c r="P126" s="1"/>
      <c r="Q126" s="1"/>
      <c r="R126" s="53"/>
      <c r="S126" s="53"/>
      <c r="T126" s="3"/>
      <c r="U126" s="3"/>
    </row>
    <row r="127" spans="1:21" ht="26.25" thickBot="1">
      <c r="A127" s="1">
        <f t="shared" si="14"/>
        <v>127</v>
      </c>
      <c r="B127" s="110" t="s">
        <v>234</v>
      </c>
      <c r="C127" s="4"/>
      <c r="D127" s="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3" t="str">
        <f>[4]!FormDisp(J127)</f>
        <v/>
      </c>
      <c r="P127" s="1"/>
      <c r="Q127" s="1"/>
      <c r="R127" s="53"/>
      <c r="S127" s="53"/>
      <c r="T127" s="3"/>
      <c r="U127" s="3"/>
    </row>
    <row r="128" spans="1:21" ht="30">
      <c r="A128" s="1">
        <f t="shared" si="14"/>
        <v>128</v>
      </c>
      <c r="B128" s="50" t="s">
        <v>232</v>
      </c>
      <c r="C128" s="4"/>
      <c r="D128" s="7">
        <f>+activo_fijo</f>
        <v>45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3" t="str">
        <f>[4]!FormDisp(J128)</f>
        <v/>
      </c>
      <c r="P128" s="30"/>
      <c r="Q128" s="3"/>
      <c r="R128" s="53"/>
      <c r="S128" s="53"/>
      <c r="T128" s="3"/>
      <c r="U128" s="3"/>
    </row>
    <row r="129" spans="1:21" ht="30">
      <c r="A129" s="1">
        <f t="shared" si="14"/>
        <v>129</v>
      </c>
      <c r="B129" s="50" t="s">
        <v>233</v>
      </c>
      <c r="C129" s="4"/>
      <c r="D129" s="7"/>
      <c r="E129" s="17">
        <f>+E76</f>
        <v>0</v>
      </c>
      <c r="F129" s="17">
        <f t="shared" ref="F129:N129" si="46">+F76</f>
        <v>0</v>
      </c>
      <c r="G129" s="17">
        <f t="shared" si="46"/>
        <v>0</v>
      </c>
      <c r="H129" s="17">
        <f t="shared" si="46"/>
        <v>56.305269589880119</v>
      </c>
      <c r="I129" s="17">
        <v>0</v>
      </c>
      <c r="J129" s="17">
        <f t="shared" si="46"/>
        <v>14.07631739747003</v>
      </c>
      <c r="K129" s="17">
        <f t="shared" si="46"/>
        <v>17.595396746837537</v>
      </c>
      <c r="L129" s="17">
        <f t="shared" si="46"/>
        <v>87.948903950634516</v>
      </c>
      <c r="M129" s="17">
        <f t="shared" si="46"/>
        <v>29.905154523735519</v>
      </c>
      <c r="N129" s="17">
        <f t="shared" si="46"/>
        <v>37.381443154669398</v>
      </c>
      <c r="O129" s="3" t="str">
        <f>[4]!FormDisp(J129)</f>
        <v>=+J76</v>
      </c>
      <c r="P129">
        <f>+H129/D128-1</f>
        <v>0.25122821310844712</v>
      </c>
      <c r="Q129" s="3">
        <f>+L129/H129-1</f>
        <v>0.56200129386187658</v>
      </c>
      <c r="R129" s="3"/>
      <c r="S129" s="3"/>
      <c r="T129" s="3"/>
      <c r="U129" s="3"/>
    </row>
    <row r="130" spans="1:21" ht="28.5">
      <c r="A130" s="1">
        <f t="shared" si="14"/>
        <v>130</v>
      </c>
      <c r="B130" s="64" t="s">
        <v>248</v>
      </c>
      <c r="C130" s="4"/>
      <c r="D130" s="7">
        <f>-D128-D129</f>
        <v>-45</v>
      </c>
      <c r="E130" s="17">
        <f t="shared" ref="E130:N130" si="47">-E129-E128</f>
        <v>0</v>
      </c>
      <c r="F130" s="17">
        <f t="shared" si="47"/>
        <v>0</v>
      </c>
      <c r="G130" s="17">
        <f t="shared" si="47"/>
        <v>0</v>
      </c>
      <c r="H130" s="17">
        <f t="shared" si="47"/>
        <v>-56.305269589880119</v>
      </c>
      <c r="I130" s="17">
        <v>0</v>
      </c>
      <c r="J130" s="17">
        <f t="shared" si="47"/>
        <v>-14.07631739747003</v>
      </c>
      <c r="K130" s="17">
        <f t="shared" si="47"/>
        <v>-17.595396746837537</v>
      </c>
      <c r="L130" s="17">
        <f t="shared" si="47"/>
        <v>-87.948903950634516</v>
      </c>
      <c r="M130" s="17">
        <f t="shared" si="47"/>
        <v>-29.905154523735519</v>
      </c>
      <c r="N130" s="17">
        <f t="shared" si="47"/>
        <v>-37.381443154669398</v>
      </c>
      <c r="O130" s="3" t="str">
        <f>[4]!FormDisp(J130)</f>
        <v>=-J129-J128</v>
      </c>
      <c r="P130" s="53"/>
      <c r="Q130" s="53"/>
      <c r="R130" s="53"/>
      <c r="S130" s="53"/>
      <c r="T130" s="3"/>
      <c r="U130" s="3"/>
    </row>
    <row r="131" spans="1:21" ht="43.5" thickBot="1">
      <c r="A131" s="1">
        <f t="shared" si="14"/>
        <v>131</v>
      </c>
      <c r="B131" s="64" t="s">
        <v>247</v>
      </c>
      <c r="C131" s="4"/>
      <c r="D131" s="7">
        <f>+D130+D126</f>
        <v>-65</v>
      </c>
      <c r="E131" s="17">
        <f t="shared" ref="E131:N131" si="48">+E126+E130</f>
        <v>31.68056002000003</v>
      </c>
      <c r="F131" s="17">
        <f t="shared" si="48"/>
        <v>33.290848885157914</v>
      </c>
      <c r="G131" s="17">
        <f t="shared" si="48"/>
        <v>42.108499937858994</v>
      </c>
      <c r="H131" s="17">
        <f t="shared" si="48"/>
        <v>-49.441456758809672</v>
      </c>
      <c r="I131" s="17">
        <v>66.75952593055473</v>
      </c>
      <c r="J131" s="17">
        <f t="shared" si="48"/>
        <v>27.78128600327549</v>
      </c>
      <c r="K131" s="17">
        <f t="shared" si="48"/>
        <v>37.154633287968295</v>
      </c>
      <c r="L131" s="17">
        <f t="shared" si="48"/>
        <v>-25.341446404853158</v>
      </c>
      <c r="M131" s="17">
        <f t="shared" si="48"/>
        <v>44.863838708055596</v>
      </c>
      <c r="N131" s="17">
        <f t="shared" si="48"/>
        <v>49.168089060295813</v>
      </c>
      <c r="O131" s="3" t="e">
        <f ca="1">[4]!FormDisp(J131)</f>
        <v>#NAME?</v>
      </c>
      <c r="P131" s="53"/>
      <c r="Q131" s="53"/>
      <c r="R131" s="53"/>
      <c r="S131" s="53"/>
      <c r="T131" s="3"/>
      <c r="U131" s="3"/>
    </row>
    <row r="132" spans="1:21" ht="26.25" thickBot="1">
      <c r="A132" s="1">
        <f t="shared" si="14"/>
        <v>132</v>
      </c>
      <c r="B132" s="110" t="s">
        <v>235</v>
      </c>
      <c r="C132" s="4"/>
      <c r="D132" s="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3" t="str">
        <f>[4]!FormDisp(J132)</f>
        <v/>
      </c>
      <c r="P132" s="53"/>
      <c r="Q132" s="53"/>
      <c r="R132" s="53"/>
      <c r="S132" s="53"/>
      <c r="T132" s="3"/>
      <c r="U132" s="3"/>
    </row>
    <row r="133" spans="1:21" ht="12.75">
      <c r="A133" s="1">
        <f t="shared" si="14"/>
        <v>133</v>
      </c>
      <c r="B133" s="105" t="s">
        <v>236</v>
      </c>
      <c r="C133" s="4"/>
      <c r="D133" s="7"/>
      <c r="E133" s="17"/>
      <c r="F133" s="140"/>
      <c r="G133" s="17"/>
      <c r="H133" s="17"/>
      <c r="I133" s="17"/>
      <c r="J133" s="17"/>
      <c r="K133" s="17"/>
      <c r="L133" s="17"/>
      <c r="M133" s="17"/>
      <c r="N133" s="17"/>
      <c r="O133" s="3" t="str">
        <f>[4]!FormDisp(J133)</f>
        <v/>
      </c>
      <c r="P133" s="53"/>
      <c r="Q133" s="53"/>
      <c r="R133" s="53"/>
      <c r="S133" s="53"/>
      <c r="T133" s="3"/>
      <c r="U133" s="3"/>
    </row>
    <row r="134" spans="1:21" ht="28.5">
      <c r="A134" s="1">
        <f t="shared" si="14"/>
        <v>134</v>
      </c>
      <c r="B134" s="106" t="s">
        <v>237</v>
      </c>
      <c r="C134" s="45"/>
      <c r="D134" s="7">
        <f>IF((D130+D146)&gt;0,0,-(D130+D146))</f>
        <v>30</v>
      </c>
      <c r="E134" s="17"/>
      <c r="F134" s="17"/>
      <c r="G134" s="184"/>
      <c r="H134" s="17"/>
      <c r="I134" s="17"/>
      <c r="J134" s="17"/>
      <c r="K134" s="17"/>
      <c r="L134" s="17"/>
      <c r="M134" s="17"/>
      <c r="N134" s="17"/>
      <c r="O134" s="3" t="str">
        <f>[4]!FormDisp(J134)</f>
        <v/>
      </c>
      <c r="P134" s="53"/>
      <c r="Q134" s="53"/>
      <c r="R134" s="53"/>
      <c r="S134" s="53"/>
      <c r="T134" s="3"/>
      <c r="U134" s="3"/>
    </row>
    <row r="135" spans="1:21" ht="14.25">
      <c r="A135" s="1">
        <f t="shared" si="14"/>
        <v>135</v>
      </c>
      <c r="B135" s="67" t="s">
        <v>238</v>
      </c>
      <c r="C135" s="52"/>
      <c r="D135" s="7">
        <f>IF(D126-D$36&gt;0,0,-(D126-D$36))</f>
        <v>33</v>
      </c>
      <c r="E135" s="17">
        <f>IF((D157+E126-E140-E141+E152+E153-E64)&gt;0,0,-(D157+E126-E140-E141+E152+E153-E64))</f>
        <v>0</v>
      </c>
      <c r="F135" s="17">
        <f>IF((E157+F126-F140-F141+F152+F153-F64)&gt;0,0,-(E157+F126-F140-F141+F152+F153-F64))</f>
        <v>0</v>
      </c>
      <c r="G135" s="17">
        <f t="shared" ref="G135:N135" si="49">IF((F157+G126-G140-G141+G152+G153-G64)&gt;0,0,-(F157+G126-G140-G141+G152+G153-G64))</f>
        <v>0</v>
      </c>
      <c r="H135" s="17">
        <f t="shared" si="49"/>
        <v>0</v>
      </c>
      <c r="I135" s="17">
        <f t="shared" si="49"/>
        <v>0</v>
      </c>
      <c r="J135" s="17">
        <f t="shared" si="49"/>
        <v>0</v>
      </c>
      <c r="K135" s="17">
        <f t="shared" si="49"/>
        <v>0</v>
      </c>
      <c r="L135" s="17">
        <f t="shared" si="49"/>
        <v>0</v>
      </c>
      <c r="M135" s="17">
        <f t="shared" si="49"/>
        <v>0</v>
      </c>
      <c r="N135" s="17">
        <f t="shared" si="49"/>
        <v>0</v>
      </c>
      <c r="O135" s="3" t="e">
        <f ca="1">[4]!FormDisp(J135)</f>
        <v>#NAME?</v>
      </c>
      <c r="P135" s="3"/>
      <c r="Q135" s="3"/>
      <c r="R135" s="3"/>
      <c r="S135" s="3"/>
      <c r="T135" s="3"/>
      <c r="U135" s="3"/>
    </row>
    <row r="136" spans="1:21" ht="28.5">
      <c r="A136" s="1">
        <f t="shared" si="14"/>
        <v>136</v>
      </c>
      <c r="B136" s="107" t="s">
        <v>239</v>
      </c>
      <c r="C136" s="4"/>
      <c r="D136" s="7"/>
      <c r="E136" s="17">
        <f>IF((D157+E131+E135-E138-E139-E140-E141-E142-E143+E149+E152+E153-E$35)&gt;0,0,-(D157+E131+E135-E138-E139-E140-E141-E142-E143+E149+E152+E153-E$35))</f>
        <v>13.252839979999978</v>
      </c>
      <c r="F136" s="17">
        <f>IF((E157+F131+F135-F138-F139-F140-F141-F142-F143+F149+F152+F153-F$35)&gt;0,0,-(E157+F131+F135-F138-F139-F140-F141-F142-F143+F149+F152+F153-F$35))</f>
        <v>0</v>
      </c>
      <c r="G136" s="17">
        <f>IF((F157+G131+G135-G138-G139-G140-G141-G142-G143+G149+G152+G153-G$35)&gt;0,0,-(F157+G131+G135-G138-G139-G140-G141-G142-G143+G149+G152+G153-G$35))</f>
        <v>0</v>
      </c>
      <c r="H136" s="17">
        <f>IF((G157+H131+H135-H138-H139-H140-H141-H142-H143+H149+H152+H153-H$35)&gt;0,0,-(G157+H131+H135-H138-H139-H140-H141-H142-H143+H149+H152+H153-H$35))</f>
        <v>40.298363672527245</v>
      </c>
      <c r="I136" s="17">
        <v>0</v>
      </c>
      <c r="J136" s="17">
        <f>IF((I204+J131+J135-J138-J139-J140-J141-J142-J143-J147-J148+J152+J153-J$64)&gt;0,0,-(I204+J131+J135-J138-J139-J140-J141-J142-J143-J147-J148+J152+J153-J$64))*$D$16</f>
        <v>0</v>
      </c>
      <c r="K136" s="17">
        <f t="shared" ref="K136:N136" si="50">IF((J157+K131+K135-K138-K139-K140-K141-K142-K143-K147-K148+K152+K153-K$64)&gt;0,0,-(J157+K131+K135-K138-K139-K140-K141-K142-K143-K147-K148+K152+K153-K$64))*$D$16</f>
        <v>0</v>
      </c>
      <c r="L136" s="17">
        <f t="shared" si="50"/>
        <v>11.526312870850413</v>
      </c>
      <c r="M136" s="17">
        <f t="shared" si="50"/>
        <v>0</v>
      </c>
      <c r="N136" s="17">
        <f t="shared" si="50"/>
        <v>0</v>
      </c>
      <c r="O136" s="195" t="e">
        <f ca="1">[4]!FormDisp(J136)</f>
        <v>#NAME?</v>
      </c>
      <c r="P136" s="195" t="e">
        <f ca="1">[4]!FormDisp(K136)</f>
        <v>#NAME?</v>
      </c>
      <c r="Q136" s="3"/>
      <c r="R136" s="3"/>
      <c r="S136" s="3"/>
      <c r="T136" s="3"/>
      <c r="U136" s="3"/>
    </row>
    <row r="137" spans="1:21" ht="15">
      <c r="A137" s="1">
        <f t="shared" si="14"/>
        <v>137</v>
      </c>
      <c r="B137" s="50" t="s">
        <v>240</v>
      </c>
      <c r="C137" s="4"/>
      <c r="D137" s="1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3" t="str">
        <f>[4]!FormDisp(J137)</f>
        <v/>
      </c>
      <c r="P137" s="30"/>
      <c r="Q137" s="30"/>
      <c r="R137" s="30"/>
      <c r="S137" s="30"/>
      <c r="T137" s="3"/>
      <c r="U137" s="3"/>
    </row>
    <row r="138" spans="1:21" ht="28.5">
      <c r="A138" s="1">
        <f t="shared" ref="A138:A225" si="51">ROW(B138)</f>
        <v>138</v>
      </c>
      <c r="B138" s="106" t="s">
        <v>242</v>
      </c>
      <c r="C138" s="4"/>
      <c r="D138" s="1"/>
      <c r="E138" s="17">
        <f>+E164</f>
        <v>6</v>
      </c>
      <c r="F138" s="17">
        <f>+F164</f>
        <v>6</v>
      </c>
      <c r="G138" s="17">
        <f>+G164</f>
        <v>6</v>
      </c>
      <c r="H138" s="17">
        <f>+H164</f>
        <v>6</v>
      </c>
      <c r="I138" s="17">
        <v>6</v>
      </c>
      <c r="J138" s="17"/>
      <c r="K138" s="17"/>
      <c r="L138" s="17"/>
      <c r="M138" s="17"/>
      <c r="N138" s="17"/>
      <c r="O138" s="3" t="str">
        <f>[4]!FormDisp(J138)</f>
        <v/>
      </c>
      <c r="P138" s="30"/>
      <c r="Q138" s="30"/>
      <c r="R138" s="30"/>
      <c r="S138" s="30"/>
      <c r="T138" s="3"/>
      <c r="U138" s="3"/>
    </row>
    <row r="139" spans="1:21" ht="28.5">
      <c r="A139" s="1">
        <f t="shared" si="51"/>
        <v>139</v>
      </c>
      <c r="B139" s="106" t="s">
        <v>241</v>
      </c>
      <c r="C139" s="4"/>
      <c r="D139" s="1"/>
      <c r="E139" s="17">
        <f>+E163</f>
        <v>4.2540000000000031</v>
      </c>
      <c r="F139" s="17">
        <f>+F163</f>
        <v>3.2603999999999971</v>
      </c>
      <c r="G139" s="17">
        <f>+G163</f>
        <v>2.5136999999999978</v>
      </c>
      <c r="H139" s="17">
        <f>+H163</f>
        <v>1.6020000000000014</v>
      </c>
      <c r="I139" s="17">
        <v>0.75209999999999944</v>
      </c>
      <c r="J139" s="17"/>
      <c r="K139" s="17"/>
      <c r="L139" s="17"/>
      <c r="M139" s="17"/>
      <c r="N139" s="17"/>
      <c r="O139" s="3" t="str">
        <f>[4]!FormDisp(J139)</f>
        <v/>
      </c>
      <c r="P139" s="30"/>
      <c r="Q139" s="30"/>
      <c r="R139" s="30"/>
      <c r="S139" s="30"/>
      <c r="T139" s="3"/>
      <c r="U139" s="3"/>
    </row>
    <row r="140" spans="1:21" ht="14.25">
      <c r="A140" s="1">
        <f t="shared" si="51"/>
        <v>140</v>
      </c>
      <c r="B140" s="67" t="s">
        <v>243</v>
      </c>
      <c r="C140" s="4"/>
      <c r="D140" s="1"/>
      <c r="E140" s="17">
        <f t="shared" ref="E140:N140" si="52">+D135</f>
        <v>33</v>
      </c>
      <c r="F140" s="17">
        <f t="shared" si="52"/>
        <v>0</v>
      </c>
      <c r="G140" s="17">
        <f t="shared" si="52"/>
        <v>0</v>
      </c>
      <c r="H140" s="17">
        <f t="shared" si="52"/>
        <v>0</v>
      </c>
      <c r="I140" s="17">
        <v>0</v>
      </c>
      <c r="J140" s="17">
        <f>+I215</f>
        <v>0</v>
      </c>
      <c r="K140" s="17">
        <f t="shared" si="52"/>
        <v>0</v>
      </c>
      <c r="L140" s="17">
        <f t="shared" si="52"/>
        <v>0</v>
      </c>
      <c r="M140" s="17">
        <f t="shared" si="52"/>
        <v>0</v>
      </c>
      <c r="N140" s="17">
        <f t="shared" si="52"/>
        <v>0</v>
      </c>
      <c r="O140" s="195" t="e">
        <f ca="1">[4]!FormDisp(J140)</f>
        <v>#NAME?</v>
      </c>
      <c r="P140" s="195" t="e">
        <f ca="1">[4]!FormDisp(K140)</f>
        <v>#NAME?</v>
      </c>
      <c r="Q140" s="30"/>
      <c r="R140" s="30"/>
      <c r="S140" s="30"/>
      <c r="T140" s="3"/>
      <c r="U140" s="3"/>
    </row>
    <row r="141" spans="1:21" ht="15">
      <c r="A141" s="1">
        <f t="shared" si="51"/>
        <v>141</v>
      </c>
      <c r="B141" s="65" t="s">
        <v>244</v>
      </c>
      <c r="C141" s="4"/>
      <c r="D141" s="1"/>
      <c r="E141" s="17">
        <f t="shared" ref="E141:N141" si="53">+E171</f>
        <v>4.6794000000000029</v>
      </c>
      <c r="F141" s="17">
        <f t="shared" si="53"/>
        <v>0</v>
      </c>
      <c r="G141" s="17">
        <f t="shared" si="53"/>
        <v>0</v>
      </c>
      <c r="H141" s="17">
        <f t="shared" si="53"/>
        <v>0</v>
      </c>
      <c r="I141" s="17">
        <v>0</v>
      </c>
      <c r="J141" s="17">
        <f t="shared" si="53"/>
        <v>0</v>
      </c>
      <c r="K141" s="17">
        <f t="shared" si="53"/>
        <v>0</v>
      </c>
      <c r="L141" s="17">
        <f t="shared" si="53"/>
        <v>0</v>
      </c>
      <c r="M141" s="17">
        <f t="shared" si="53"/>
        <v>0</v>
      </c>
      <c r="N141" s="17">
        <f t="shared" si="53"/>
        <v>0</v>
      </c>
      <c r="O141" s="3" t="e">
        <f ca="1">[4]!FormDisp(J141)</f>
        <v>#NAME?</v>
      </c>
      <c r="P141" s="30"/>
      <c r="Q141" s="30"/>
      <c r="R141" s="30"/>
      <c r="S141" s="30"/>
      <c r="T141" s="3"/>
      <c r="U141" s="3"/>
    </row>
    <row r="142" spans="1:21" ht="14.25">
      <c r="A142" s="1">
        <f t="shared" si="51"/>
        <v>142</v>
      </c>
      <c r="B142" s="66" t="s">
        <v>245</v>
      </c>
      <c r="C142" s="4"/>
      <c r="D142" s="1"/>
      <c r="E142" s="17">
        <f t="shared" ref="E142:N142" si="54">+E179</f>
        <v>0</v>
      </c>
      <c r="F142" s="17">
        <f t="shared" si="54"/>
        <v>1.3252839979999977</v>
      </c>
      <c r="G142" s="17">
        <f t="shared" si="54"/>
        <v>1.3252839979999977</v>
      </c>
      <c r="H142" s="17">
        <f t="shared" si="54"/>
        <v>1.3252839979999977</v>
      </c>
      <c r="I142" s="17">
        <v>5.1682678050671784</v>
      </c>
      <c r="J142" s="17">
        <f>+J324+J332</f>
        <v>5.3551203652527226</v>
      </c>
      <c r="K142" s="17">
        <f t="shared" si="54"/>
        <v>5.1682678050671784</v>
      </c>
      <c r="L142" s="17">
        <f t="shared" si="54"/>
        <v>5.1682678050671784</v>
      </c>
      <c r="M142" s="17">
        <f t="shared" si="54"/>
        <v>6.3208990921522199</v>
      </c>
      <c r="N142" s="17">
        <f t="shared" si="54"/>
        <v>6.3208990921522199</v>
      </c>
      <c r="O142" s="3" t="e">
        <f ca="1">[4]!FormDisp(J142)</f>
        <v>#NAME?</v>
      </c>
      <c r="P142" s="30"/>
      <c r="Q142" s="30"/>
      <c r="R142" s="30"/>
      <c r="S142" s="30"/>
      <c r="T142" s="3"/>
      <c r="U142" s="3"/>
    </row>
    <row r="143" spans="1:21" ht="15">
      <c r="A143" s="1">
        <f t="shared" si="51"/>
        <v>143</v>
      </c>
      <c r="B143" s="65" t="s">
        <v>246</v>
      </c>
      <c r="C143" s="4"/>
      <c r="D143" s="1"/>
      <c r="E143" s="17">
        <f t="shared" ref="E143:N143" si="55">+E178</f>
        <v>0</v>
      </c>
      <c r="F143" s="17">
        <f t="shared" si="55"/>
        <v>1.8003983112829955</v>
      </c>
      <c r="G143" s="17">
        <f t="shared" si="55"/>
        <v>1.6656831928862958</v>
      </c>
      <c r="H143" s="17">
        <f t="shared" si="55"/>
        <v>1.4154033098639989</v>
      </c>
      <c r="I143" s="17">
        <v>6.2056370236517031</v>
      </c>
      <c r="J143" s="17">
        <f t="shared" si="55"/>
        <v>5.4075397293724574</v>
      </c>
      <c r="K143" s="17">
        <f t="shared" si="55"/>
        <v>4.5754865686505637</v>
      </c>
      <c r="L143" s="17">
        <f t="shared" si="55"/>
        <v>3.7966665663208725</v>
      </c>
      <c r="M143" s="17">
        <f t="shared" si="55"/>
        <v>4.5066132788642195</v>
      </c>
      <c r="N143" s="17">
        <f t="shared" si="55"/>
        <v>3.8008143289728684</v>
      </c>
      <c r="O143" s="3" t="e">
        <f ca="1">[4]!FormDisp(J143)</f>
        <v>#NAME?</v>
      </c>
      <c r="P143" s="30"/>
      <c r="Q143" s="30"/>
      <c r="R143" s="30"/>
      <c r="S143" s="30"/>
      <c r="T143" s="3"/>
      <c r="U143" s="3"/>
    </row>
    <row r="144" spans="1:21" ht="30.75" thickBot="1">
      <c r="A144" s="1">
        <f t="shared" si="51"/>
        <v>144</v>
      </c>
      <c r="B144" s="50" t="s">
        <v>249</v>
      </c>
      <c r="C144" s="4"/>
      <c r="D144" s="9">
        <f>SUM(C134:D143)</f>
        <v>63</v>
      </c>
      <c r="E144" s="17">
        <f t="shared" ref="E144:N144" si="56">SUM(E134:E136)-SUM(E138:E143)</f>
        <v>-34.68056002000003</v>
      </c>
      <c r="F144" s="17">
        <f t="shared" si="56"/>
        <v>-12.38608230928299</v>
      </c>
      <c r="G144" s="17">
        <f t="shared" si="56"/>
        <v>-11.504667190886291</v>
      </c>
      <c r="H144" s="17">
        <f t="shared" si="56"/>
        <v>29.955676364663248</v>
      </c>
      <c r="I144" s="17">
        <v>-18.12600482871888</v>
      </c>
      <c r="J144" s="17">
        <f t="shared" si="56"/>
        <v>-10.762660094625179</v>
      </c>
      <c r="K144" s="17">
        <f t="shared" si="56"/>
        <v>-9.7437543737177421</v>
      </c>
      <c r="L144" s="17">
        <f t="shared" si="56"/>
        <v>2.5613784994623625</v>
      </c>
      <c r="M144" s="17">
        <f t="shared" si="56"/>
        <v>-10.827512371016439</v>
      </c>
      <c r="N144" s="17">
        <f t="shared" si="56"/>
        <v>-10.121713421125088</v>
      </c>
      <c r="O144" s="3" t="e">
        <f ca="1">[4]!FormDisp(J144)</f>
        <v>#NAME?</v>
      </c>
      <c r="P144" s="53"/>
      <c r="Q144" s="30"/>
      <c r="R144" s="30"/>
      <c r="S144" s="30"/>
      <c r="T144" s="3"/>
      <c r="U144" s="3"/>
    </row>
    <row r="145" spans="1:21" ht="26.25" thickBot="1">
      <c r="A145" s="1">
        <f t="shared" si="51"/>
        <v>145</v>
      </c>
      <c r="B145" s="110" t="s">
        <v>250</v>
      </c>
      <c r="C145" s="4"/>
      <c r="D145" s="9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3" t="str">
        <f>[4]!FormDisp(J145)</f>
        <v/>
      </c>
      <c r="P145" s="53">
        <v>257.60000000000002</v>
      </c>
      <c r="Q145" s="30"/>
      <c r="R145" s="30"/>
      <c r="S145" s="30"/>
      <c r="T145" s="3"/>
      <c r="U145" s="3"/>
    </row>
    <row r="146" spans="1:21" ht="30">
      <c r="A146" s="1">
        <f t="shared" si="51"/>
        <v>146</v>
      </c>
      <c r="B146" s="50" t="s">
        <v>251</v>
      </c>
      <c r="C146" s="4"/>
      <c r="D146" s="7">
        <f>patrimonio_inicial</f>
        <v>15</v>
      </c>
      <c r="E146" s="17"/>
      <c r="F146" s="17"/>
      <c r="G146" s="17"/>
      <c r="H146" s="17"/>
      <c r="I146" s="17"/>
      <c r="J146" s="17">
        <f>IF((I204+J131+J135-J138-J139-J140-J141-J142-J143-J147-J148+J152+J153-J$64)&gt;0,0,-(I204+J131+J135-J138-J139-J140-J141-J142-J143-J147-J148+J152+J153-J$64))*(1-$D$16)</f>
        <v>0</v>
      </c>
      <c r="K146" s="17">
        <f t="shared" ref="K146:N146" si="57">IF((J157+K131+K135-K138-K139-K140-K141-K142-K143-K147-K148+K152+K153-K$64)&gt;0,0,-(J157+K131+K135-K138-K139-K140-K141-K142-K143-K147-K148+K152+K153-K$64))*(1-$D$16)</f>
        <v>0</v>
      </c>
      <c r="L146" s="17">
        <f t="shared" si="57"/>
        <v>7.6842085805669429</v>
      </c>
      <c r="M146" s="17">
        <f t="shared" si="57"/>
        <v>0</v>
      </c>
      <c r="N146" s="17">
        <f t="shared" si="57"/>
        <v>0</v>
      </c>
      <c r="O146" s="195" t="e">
        <f ca="1">[4]!FormDisp(J146)</f>
        <v>#NAME?</v>
      </c>
      <c r="P146" s="195" t="e">
        <f ca="1">[4]!FormDisp(K146)</f>
        <v>#NAME?</v>
      </c>
      <c r="Q146" s="30"/>
      <c r="R146" s="30"/>
      <c r="S146" s="30"/>
      <c r="T146" s="3"/>
      <c r="U146" s="3"/>
    </row>
    <row r="147" spans="1:21" ht="15">
      <c r="A147" s="1">
        <f t="shared" si="51"/>
        <v>147</v>
      </c>
      <c r="B147" s="50" t="s">
        <v>252</v>
      </c>
      <c r="C147" s="4"/>
      <c r="D147" s="7"/>
      <c r="E147" s="17">
        <f t="shared" ref="E147:N147" si="58">+D198</f>
        <v>0</v>
      </c>
      <c r="F147" s="17">
        <f t="shared" si="58"/>
        <v>7.0007861664000455</v>
      </c>
      <c r="G147" s="17">
        <f t="shared" si="58"/>
        <v>11.351826069161659</v>
      </c>
      <c r="H147" s="17">
        <f t="shared" si="58"/>
        <v>15.213797817493061</v>
      </c>
      <c r="I147" s="17">
        <v>16.978912726821711</v>
      </c>
      <c r="J147" s="17">
        <f>+I198</f>
        <v>17.167085675413187</v>
      </c>
      <c r="K147" s="17">
        <f t="shared" si="58"/>
        <v>23.050654097551163</v>
      </c>
      <c r="L147" s="17">
        <f t="shared" si="58"/>
        <v>26.321643886970381</v>
      </c>
      <c r="M147" s="17">
        <f t="shared" si="58"/>
        <v>29.449218378082293</v>
      </c>
      <c r="N147" s="17">
        <f t="shared" si="58"/>
        <v>30.643177066807503</v>
      </c>
      <c r="O147" s="195" t="str">
        <f>[4]!FormDisp(J147)</f>
        <v>=+I198</v>
      </c>
      <c r="P147" s="3" t="s">
        <v>446</v>
      </c>
      <c r="Q147" s="3"/>
      <c r="R147" s="3"/>
      <c r="S147" s="3"/>
      <c r="T147" s="3"/>
      <c r="U147" s="3"/>
    </row>
    <row r="148" spans="1:21" ht="15">
      <c r="A148" s="1">
        <f t="shared" si="51"/>
        <v>148</v>
      </c>
      <c r="B148" s="50" t="s">
        <v>253</v>
      </c>
      <c r="C148" s="4"/>
      <c r="D148" s="7"/>
      <c r="E148" s="17">
        <f t="shared" ref="E148:N148" si="59">+E200</f>
        <v>0</v>
      </c>
      <c r="F148" s="17">
        <f t="shared" si="59"/>
        <v>0</v>
      </c>
      <c r="G148" s="17">
        <f t="shared" si="59"/>
        <v>0</v>
      </c>
      <c r="H148" s="17">
        <f t="shared" si="59"/>
        <v>0</v>
      </c>
      <c r="I148" s="17">
        <v>0</v>
      </c>
      <c r="J148" s="17">
        <f t="shared" si="59"/>
        <v>0</v>
      </c>
      <c r="K148" s="17">
        <f t="shared" si="59"/>
        <v>0</v>
      </c>
      <c r="L148" s="17">
        <f t="shared" si="59"/>
        <v>0</v>
      </c>
      <c r="M148" s="17">
        <f t="shared" si="59"/>
        <v>0</v>
      </c>
      <c r="N148" s="17">
        <f t="shared" si="59"/>
        <v>0</v>
      </c>
      <c r="O148" s="3" t="str">
        <f>[4]!FormDisp(J148)</f>
        <v>=+J200</v>
      </c>
      <c r="P148" s="3"/>
      <c r="Q148" s="3"/>
      <c r="R148" s="3"/>
      <c r="S148" s="3"/>
      <c r="T148" s="3"/>
      <c r="U148" s="3"/>
    </row>
    <row r="149" spans="1:21" ht="30">
      <c r="A149" s="1">
        <f t="shared" si="51"/>
        <v>149</v>
      </c>
      <c r="B149" s="50" t="s">
        <v>254</v>
      </c>
      <c r="C149" s="4"/>
      <c r="D149" s="7">
        <f t="shared" ref="D149:H149" si="60">+D146-D147-D148</f>
        <v>15</v>
      </c>
      <c r="E149" s="17">
        <f t="shared" si="60"/>
        <v>0</v>
      </c>
      <c r="F149" s="17">
        <f t="shared" si="60"/>
        <v>-7.0007861664000455</v>
      </c>
      <c r="G149" s="17">
        <f t="shared" si="60"/>
        <v>-11.351826069161659</v>
      </c>
      <c r="H149" s="17">
        <f t="shared" si="60"/>
        <v>-15.213797817493061</v>
      </c>
      <c r="I149" s="17">
        <v>-16.978912726821711</v>
      </c>
      <c r="J149" s="17">
        <f>+J146-J147-J148</f>
        <v>-17.167085675413187</v>
      </c>
      <c r="K149" s="17">
        <f>+K146-K147-K148</f>
        <v>-23.050654097551163</v>
      </c>
      <c r="L149" s="17">
        <f>+L146-L147-L148</f>
        <v>-18.637435306403439</v>
      </c>
      <c r="M149" s="17">
        <f>+M146-M147-M148</f>
        <v>-29.449218378082293</v>
      </c>
      <c r="N149" s="17">
        <f>+N146-N147-N148</f>
        <v>-30.643177066807503</v>
      </c>
      <c r="O149" s="3" t="e">
        <f ca="1">[4]!FormDisp(J149)</f>
        <v>#NAME?</v>
      </c>
      <c r="P149" s="3"/>
      <c r="Q149" s="3"/>
      <c r="R149" s="3"/>
      <c r="S149" s="3"/>
      <c r="T149" s="3"/>
      <c r="U149" s="3"/>
    </row>
    <row r="150" spans="1:21" ht="15">
      <c r="A150" s="1">
        <f t="shared" si="51"/>
        <v>150</v>
      </c>
      <c r="B150" s="50" t="s">
        <v>339</v>
      </c>
      <c r="C150" s="4"/>
      <c r="D150" s="7">
        <f>+D149+D144+D131</f>
        <v>13</v>
      </c>
      <c r="E150" s="17">
        <f>+E149+E144+E131</f>
        <v>-3</v>
      </c>
      <c r="F150" s="17">
        <f>+F149+F144+F131</f>
        <v>13.903980409474876</v>
      </c>
      <c r="G150" s="17">
        <f t="shared" ref="G150:N150" si="61">+G149+G144+G131</f>
        <v>19.252006677811046</v>
      </c>
      <c r="H150" s="17">
        <f t="shared" si="61"/>
        <v>-34.699578211639484</v>
      </c>
      <c r="I150" s="17">
        <v>31.654608375014135</v>
      </c>
      <c r="J150" s="17">
        <f t="shared" si="61"/>
        <v>-0.1484597667628762</v>
      </c>
      <c r="K150" s="17">
        <f t="shared" si="61"/>
        <v>4.360224816699386</v>
      </c>
      <c r="L150" s="17">
        <f t="shared" si="61"/>
        <v>-41.417503211794234</v>
      </c>
      <c r="M150" s="17">
        <f t="shared" si="61"/>
        <v>4.5871079589568637</v>
      </c>
      <c r="N150" s="17">
        <f t="shared" si="61"/>
        <v>8.4031985723632232</v>
      </c>
      <c r="O150" s="3" t="e">
        <f ca="1">[4]!FormDisp(J150)</f>
        <v>#NAME?</v>
      </c>
      <c r="P150" s="3"/>
      <c r="Q150" s="3"/>
      <c r="R150" s="3"/>
      <c r="S150" s="3"/>
      <c r="T150" s="3"/>
      <c r="U150" s="3"/>
    </row>
    <row r="151" spans="1:21" ht="30">
      <c r="A151" s="1">
        <f t="shared" si="51"/>
        <v>151</v>
      </c>
      <c r="B151" s="111" t="s">
        <v>255</v>
      </c>
      <c r="C151" s="4"/>
      <c r="D151" s="7"/>
      <c r="E151" s="17"/>
      <c r="F151" s="17"/>
      <c r="G151" s="17"/>
      <c r="H151" s="17"/>
      <c r="I151" s="17"/>
      <c r="J151" s="17"/>
      <c r="K151" s="185"/>
      <c r="L151" s="186"/>
      <c r="M151" s="17"/>
      <c r="N151" s="17"/>
      <c r="O151" s="3" t="str">
        <f>[4]!FormDisp(J151)</f>
        <v/>
      </c>
      <c r="P151" s="3"/>
      <c r="Q151" s="3"/>
      <c r="R151" s="3"/>
      <c r="S151" s="3"/>
      <c r="T151" s="3"/>
      <c r="U151" s="3"/>
    </row>
    <row r="152" spans="1:21" ht="30">
      <c r="A152" s="1">
        <f t="shared" si="51"/>
        <v>152</v>
      </c>
      <c r="B152" s="43" t="s">
        <v>429</v>
      </c>
      <c r="C152" s="4"/>
      <c r="D152" s="3"/>
      <c r="E152" s="17">
        <f t="shared" ref="E152:N152" si="62">D154</f>
        <v>0</v>
      </c>
      <c r="F152" s="17">
        <f t="shared" si="62"/>
        <v>10</v>
      </c>
      <c r="G152" s="17">
        <f t="shared" si="62"/>
        <v>13.727155409474875</v>
      </c>
      <c r="H152" s="17">
        <f t="shared" si="62"/>
        <v>33.101906128226872</v>
      </c>
      <c r="I152" s="17">
        <v>3.5527136788005009E-15</v>
      </c>
      <c r="J152" s="17">
        <f>+I207</f>
        <v>30.654608375014135</v>
      </c>
      <c r="K152" s="17">
        <f t="shared" si="62"/>
        <v>34.502469179924219</v>
      </c>
      <c r="L152" s="17">
        <f t="shared" si="62"/>
        <v>40.072616650521667</v>
      </c>
      <c r="M152" s="17">
        <f t="shared" si="62"/>
        <v>0</v>
      </c>
      <c r="N152" s="17">
        <f t="shared" si="62"/>
        <v>3.4429809909144318</v>
      </c>
      <c r="O152" s="195" t="str">
        <f>[4]!FormDisp(J152)</f>
        <v>=+I207</v>
      </c>
      <c r="P152" s="195" t="e">
        <f ca="1">[4]!FormDisp(K152)</f>
        <v>#NAME?</v>
      </c>
      <c r="Q152" s="3"/>
      <c r="R152" s="3"/>
      <c r="S152" s="3"/>
      <c r="T152" s="3"/>
      <c r="U152" s="3"/>
    </row>
    <row r="153" spans="1:21" ht="30">
      <c r="A153" s="1">
        <f t="shared" si="51"/>
        <v>153</v>
      </c>
      <c r="B153" s="50" t="s">
        <v>257</v>
      </c>
      <c r="C153" s="4"/>
      <c r="D153" s="3"/>
      <c r="E153" s="17">
        <f t="shared" ref="E153:N153" si="63">E62*E152</f>
        <v>0</v>
      </c>
      <c r="F153" s="17">
        <f t="shared" si="63"/>
        <v>0.82317499999999888</v>
      </c>
      <c r="G153" s="17">
        <f t="shared" si="63"/>
        <v>1.1227440409409486</v>
      </c>
      <c r="H153" s="17">
        <f t="shared" si="63"/>
        <v>2.5976720834126081</v>
      </c>
      <c r="I153" s="17">
        <v>2.5954349780477033E-16</v>
      </c>
      <c r="J153" s="17">
        <f t="shared" si="63"/>
        <v>2.0577672236937659</v>
      </c>
      <c r="K153" s="17">
        <f t="shared" si="63"/>
        <v>2.1383767835987513</v>
      </c>
      <c r="L153" s="17">
        <f t="shared" si="63"/>
        <v>2.2772266227075182</v>
      </c>
      <c r="M153" s="17">
        <f t="shared" si="63"/>
        <v>0</v>
      </c>
      <c r="N153" s="17">
        <f t="shared" si="63"/>
        <v>0.1956560022611897</v>
      </c>
      <c r="O153" s="3" t="e">
        <f ca="1">[4]!FormDisp(J153)</f>
        <v>#NAME?</v>
      </c>
      <c r="P153" s="3"/>
      <c r="Q153" s="3"/>
      <c r="R153" s="3"/>
      <c r="S153" s="3"/>
      <c r="T153" s="3"/>
      <c r="U153" s="3"/>
    </row>
    <row r="154" spans="1:21" ht="15">
      <c r="A154" s="1">
        <f t="shared" si="51"/>
        <v>154</v>
      </c>
      <c r="B154" s="50" t="s">
        <v>258</v>
      </c>
      <c r="C154" s="4"/>
      <c r="D154" s="17">
        <f>IF(D135&gt;0,0,(IF((C157+D131+D144+D149+D152+D153-D64)&gt;0,C157+D131+D144+D149+D152+D153-D64,0)))</f>
        <v>0</v>
      </c>
      <c r="E154" s="17">
        <f>IF(E135&gt;0,0,(IF((D157+E150+E152+E153-E64)&gt;0,D157+E150+E152+E153-E64,0)))</f>
        <v>10</v>
      </c>
      <c r="F154" s="17">
        <f>IF(F135&gt;0,0,(IF((E157+F150+F152+F153-F35)&gt;0,E157+F150+F152+F153-F35,0)))</f>
        <v>13.727155409474875</v>
      </c>
      <c r="G154" s="17">
        <f>IF(G135&gt;0,0,(IF((F157+G150+G152+G153-G35)&gt;0,F157+G150+G152+G153-G35,0)))</f>
        <v>33.101906128226872</v>
      </c>
      <c r="H154" s="17">
        <f>IF(H135&gt;0,0,(IF((G157+H150+H152+H153-H35)&gt;0,G157+H150+H152+H153-H35,0)))</f>
        <v>0</v>
      </c>
      <c r="I154" s="17">
        <v>30.654608375014135</v>
      </c>
      <c r="J154" s="17">
        <f>IF(J135&gt;0,0,(IF((I204+J150+J152+J153-J64)&gt;0,I204+J150+J152+J153-J64,0)))</f>
        <v>34.502469179924219</v>
      </c>
      <c r="K154" s="17">
        <f>IF(K135&gt;0,0,(IF((J157+K150+K152+K153-K64)&gt;0,J157+K150+K152+K153-K64,0)))</f>
        <v>40.072616650521667</v>
      </c>
      <c r="L154" s="17">
        <f>IF(L135&gt;0,0,(IF((K157+L150+L152+L153-L64)&gt;0,K157+L150+L152+L153-L64,0)))</f>
        <v>0</v>
      </c>
      <c r="M154" s="17">
        <f>IF(M135&gt;0,0,(IF((L157+M150+M152+M153-M64)&gt;0,L157+M150+M152+M153-M64,0)))</f>
        <v>3.4429809909144318</v>
      </c>
      <c r="N154" s="17">
        <f>IF(N135&gt;0,0,(IF((M157+N150+N152+N153-N64)&gt;0,M157+N150+N152+N153-N64,0)))</f>
        <v>10.803684472088076</v>
      </c>
      <c r="O154" s="195" t="e">
        <f ca="1">[4]!FormDisp(J154)</f>
        <v>#NAME?</v>
      </c>
      <c r="P154" s="195" t="e">
        <f ca="1">[4]!FormDisp(K154)</f>
        <v>#NAME?</v>
      </c>
      <c r="Q154" s="3"/>
      <c r="R154" s="3"/>
      <c r="S154" s="3"/>
      <c r="T154" s="3"/>
      <c r="U154" s="3"/>
    </row>
    <row r="155" spans="1:21" ht="30">
      <c r="A155" s="1">
        <f t="shared" si="51"/>
        <v>155</v>
      </c>
      <c r="B155" s="50" t="s">
        <v>259</v>
      </c>
      <c r="C155" s="4"/>
      <c r="D155" s="7">
        <f t="shared" ref="D155:H155" si="64">+D152+D153-D154</f>
        <v>0</v>
      </c>
      <c r="E155" s="17">
        <f t="shared" si="64"/>
        <v>-10</v>
      </c>
      <c r="F155" s="17">
        <f t="shared" si="64"/>
        <v>-2.903980409474876</v>
      </c>
      <c r="G155" s="17">
        <f t="shared" si="64"/>
        <v>-18.252006677811046</v>
      </c>
      <c r="H155" s="17">
        <f t="shared" si="64"/>
        <v>35.699578211639484</v>
      </c>
      <c r="I155" s="17">
        <v>-30.654608375014131</v>
      </c>
      <c r="J155" s="17">
        <f>+J152+J153-J154</f>
        <v>-1.7900935812163183</v>
      </c>
      <c r="K155" s="17">
        <f>+K152+K153-K154</f>
        <v>-3.4317706869986964</v>
      </c>
      <c r="L155" s="17">
        <f>+L152+L153-L154</f>
        <v>42.349843273229183</v>
      </c>
      <c r="M155" s="17">
        <f>+M152+M153-M154</f>
        <v>-3.4429809909144318</v>
      </c>
      <c r="N155" s="17">
        <f>+N152+N153-N154</f>
        <v>-7.1650474789124541</v>
      </c>
      <c r="O155" s="3" t="e">
        <f ca="1">[4]!FormDisp(J155)</f>
        <v>#NAME?</v>
      </c>
      <c r="P155" s="3"/>
      <c r="Q155" s="3"/>
      <c r="R155" s="3"/>
      <c r="S155" s="3"/>
      <c r="T155" s="3"/>
      <c r="U155" s="3"/>
    </row>
    <row r="156" spans="1:21" ht="15">
      <c r="A156" s="1">
        <f t="shared" si="51"/>
        <v>156</v>
      </c>
      <c r="B156" s="50" t="s">
        <v>260</v>
      </c>
      <c r="C156" s="4"/>
      <c r="D156" s="7">
        <f>+D126+D130+D144+D149+D155</f>
        <v>13</v>
      </c>
      <c r="E156" s="17">
        <f t="shared" ref="E156:N156" si="65">+E155+E149+E144+E130+E126</f>
        <v>-13</v>
      </c>
      <c r="F156" s="17">
        <f t="shared" si="65"/>
        <v>11</v>
      </c>
      <c r="G156" s="17">
        <f t="shared" si="65"/>
        <v>1</v>
      </c>
      <c r="H156" s="17">
        <f t="shared" si="65"/>
        <v>1</v>
      </c>
      <c r="I156" s="17">
        <v>1.0000000000000142</v>
      </c>
      <c r="J156" s="17">
        <f t="shared" si="65"/>
        <v>-1.9385533479791945</v>
      </c>
      <c r="K156" s="17">
        <f t="shared" si="65"/>
        <v>0.92845412970069674</v>
      </c>
      <c r="L156" s="17">
        <f t="shared" si="65"/>
        <v>0.93234006143494952</v>
      </c>
      <c r="M156" s="17">
        <f t="shared" si="65"/>
        <v>1.1441269680424284</v>
      </c>
      <c r="N156" s="17">
        <f t="shared" si="65"/>
        <v>1.2381510934507673</v>
      </c>
      <c r="O156" s="3" t="e">
        <f ca="1">[4]!FormDisp(J156)</f>
        <v>#NAME?</v>
      </c>
      <c r="P156" s="3"/>
      <c r="Q156" s="3"/>
      <c r="R156" s="3"/>
      <c r="S156" s="3"/>
      <c r="T156" s="3"/>
      <c r="U156" s="3"/>
    </row>
    <row r="157" spans="1:21" ht="15">
      <c r="A157" s="1">
        <f t="shared" si="51"/>
        <v>157</v>
      </c>
      <c r="B157" s="50" t="s">
        <v>261</v>
      </c>
      <c r="C157" s="4"/>
      <c r="D157" s="7">
        <f>+D156</f>
        <v>13</v>
      </c>
      <c r="E157" s="17">
        <f t="shared" ref="E157:N157" si="66">+D157+E156</f>
        <v>0</v>
      </c>
      <c r="F157" s="17">
        <f t="shared" si="66"/>
        <v>11</v>
      </c>
      <c r="G157" s="17">
        <f t="shared" si="66"/>
        <v>12</v>
      </c>
      <c r="H157" s="17">
        <f t="shared" si="66"/>
        <v>13</v>
      </c>
      <c r="I157" s="17">
        <v>14.000000000000014</v>
      </c>
      <c r="J157" s="17">
        <f>+I204+J156</f>
        <v>12.06144665202082</v>
      </c>
      <c r="K157" s="17">
        <f t="shared" si="66"/>
        <v>12.989900781721516</v>
      </c>
      <c r="L157" s="17">
        <f t="shared" si="66"/>
        <v>13.922240843156466</v>
      </c>
      <c r="M157" s="17">
        <f t="shared" si="66"/>
        <v>15.066367811198894</v>
      </c>
      <c r="N157" s="17">
        <f t="shared" si="66"/>
        <v>16.304518904649662</v>
      </c>
      <c r="O157" s="195" t="e">
        <f ca="1">[4]!FormDisp(J157)</f>
        <v>#NAME?</v>
      </c>
      <c r="P157" s="195" t="e">
        <f ca="1">[4]!FormDisp(K157)</f>
        <v>#NAME?</v>
      </c>
      <c r="Q157" s="3"/>
      <c r="R157" s="3"/>
      <c r="S157" s="3"/>
      <c r="T157" s="3"/>
      <c r="U157" s="3"/>
    </row>
    <row r="158" spans="1:21" ht="15">
      <c r="A158" s="1">
        <f t="shared" si="51"/>
        <v>158</v>
      </c>
      <c r="B158" s="50"/>
      <c r="C158" s="4"/>
      <c r="D158" s="7"/>
      <c r="E158" s="17"/>
      <c r="F158" s="17"/>
      <c r="G158" s="17"/>
      <c r="H158" s="17"/>
      <c r="I158" s="17"/>
      <c r="J158" s="23"/>
      <c r="K158" s="23"/>
      <c r="L158" s="23"/>
      <c r="M158" s="23"/>
      <c r="N158" s="23"/>
      <c r="O158" s="3" t="str">
        <f>[4]!FormDisp(J158)</f>
        <v/>
      </c>
      <c r="P158" s="3"/>
      <c r="Q158" s="3"/>
      <c r="R158" s="3"/>
      <c r="S158" s="3"/>
      <c r="T158" s="3"/>
      <c r="U158" s="3"/>
    </row>
    <row r="159" spans="1:21" ht="15">
      <c r="A159" s="1">
        <f t="shared" si="51"/>
        <v>159</v>
      </c>
      <c r="B159" s="50"/>
      <c r="C159" s="4"/>
      <c r="D159" s="7"/>
      <c r="E159" s="17"/>
      <c r="F159" s="17"/>
      <c r="G159" s="17"/>
      <c r="H159" s="17"/>
      <c r="I159" s="17"/>
      <c r="J159" s="17"/>
      <c r="K159" s="23"/>
      <c r="L159" s="97"/>
      <c r="M159" s="97"/>
      <c r="N159" s="97"/>
      <c r="O159" s="3" t="str">
        <f>[4]!FormDisp(J159)</f>
        <v/>
      </c>
      <c r="P159" s="3"/>
      <c r="Q159" s="3"/>
      <c r="R159" s="3"/>
      <c r="S159" s="3"/>
      <c r="T159" s="3"/>
      <c r="U159" s="3"/>
    </row>
    <row r="160" spans="1:21" ht="15">
      <c r="A160" s="1">
        <f t="shared" si="51"/>
        <v>160</v>
      </c>
      <c r="B160" s="109" t="s">
        <v>53</v>
      </c>
      <c r="C160" s="4"/>
      <c r="D160" s="7"/>
      <c r="E160" s="17"/>
      <c r="F160" s="17"/>
      <c r="G160" s="17"/>
      <c r="H160" s="17"/>
      <c r="I160" s="17"/>
      <c r="J160" s="17"/>
      <c r="K160" s="17"/>
      <c r="L160" s="97"/>
      <c r="M160" s="97"/>
      <c r="N160" s="97"/>
      <c r="O160" s="3" t="str">
        <f>[4]!FormDisp(J160)</f>
        <v/>
      </c>
      <c r="P160" s="3"/>
      <c r="Q160" s="3"/>
      <c r="R160" s="3"/>
      <c r="S160" s="3"/>
      <c r="T160" s="3"/>
      <c r="U160" s="3"/>
    </row>
    <row r="161" spans="1:21" ht="15">
      <c r="A161" s="1">
        <f t="shared" si="51"/>
        <v>161</v>
      </c>
      <c r="B161" s="6"/>
      <c r="C161" s="69" t="s">
        <v>70</v>
      </c>
      <c r="D161" s="69">
        <v>0</v>
      </c>
      <c r="E161" s="187">
        <v>1</v>
      </c>
      <c r="F161" s="187">
        <v>2</v>
      </c>
      <c r="G161" s="187">
        <v>3</v>
      </c>
      <c r="H161" s="187">
        <v>4</v>
      </c>
      <c r="I161" s="187">
        <v>5</v>
      </c>
      <c r="J161" s="187"/>
      <c r="K161" s="187"/>
      <c r="L161" s="97"/>
      <c r="M161" s="97"/>
      <c r="N161" s="97"/>
      <c r="O161" s="3" t="str">
        <f>[4]!FormDisp(J161)</f>
        <v/>
      </c>
      <c r="P161" s="3"/>
      <c r="Q161" s="3"/>
      <c r="R161" s="3"/>
      <c r="S161" s="3"/>
      <c r="T161" s="3"/>
      <c r="U161" s="3"/>
    </row>
    <row r="162" spans="1:21" ht="15">
      <c r="A162" s="1">
        <f t="shared" si="51"/>
        <v>162</v>
      </c>
      <c r="B162" s="6" t="s">
        <v>54</v>
      </c>
      <c r="C162" s="4"/>
      <c r="D162" s="7"/>
      <c r="E162" s="17">
        <f t="shared" ref="E162:N162" si="67">D166</f>
        <v>30</v>
      </c>
      <c r="F162" s="17">
        <f t="shared" si="67"/>
        <v>24</v>
      </c>
      <c r="G162" s="17">
        <f t="shared" si="67"/>
        <v>18</v>
      </c>
      <c r="H162" s="17">
        <f t="shared" si="67"/>
        <v>12</v>
      </c>
      <c r="I162" s="17">
        <v>6</v>
      </c>
      <c r="J162" s="17">
        <f>I166</f>
        <v>0</v>
      </c>
      <c r="K162" s="17">
        <f t="shared" si="67"/>
        <v>0</v>
      </c>
      <c r="L162" s="17">
        <f t="shared" si="67"/>
        <v>0</v>
      </c>
      <c r="M162" s="17">
        <f t="shared" si="67"/>
        <v>0</v>
      </c>
      <c r="N162" s="17">
        <f t="shared" si="67"/>
        <v>0</v>
      </c>
      <c r="O162" s="195" t="str">
        <f>[4]!FormDisp(J162)</f>
        <v>=I166</v>
      </c>
      <c r="P162" s="3" t="s">
        <v>446</v>
      </c>
      <c r="Q162" s="3"/>
      <c r="R162" s="3"/>
      <c r="S162" s="3"/>
      <c r="T162" s="3"/>
      <c r="U162" s="3"/>
    </row>
    <row r="163" spans="1:21" ht="15">
      <c r="A163" s="1">
        <f t="shared" si="51"/>
        <v>163</v>
      </c>
      <c r="B163" s="33" t="s">
        <v>55</v>
      </c>
      <c r="C163" s="4"/>
      <c r="D163" s="7"/>
      <c r="E163" s="17">
        <f t="shared" ref="E163:N163" si="68">E167*E162</f>
        <v>4.2540000000000031</v>
      </c>
      <c r="F163" s="17">
        <f t="shared" si="68"/>
        <v>3.2603999999999971</v>
      </c>
      <c r="G163" s="17">
        <f t="shared" si="68"/>
        <v>2.5136999999999978</v>
      </c>
      <c r="H163" s="17">
        <f t="shared" si="68"/>
        <v>1.6020000000000014</v>
      </c>
      <c r="I163" s="17">
        <v>0.75209999999999944</v>
      </c>
      <c r="J163" s="17">
        <f t="shared" si="68"/>
        <v>0</v>
      </c>
      <c r="K163" s="17">
        <f t="shared" si="68"/>
        <v>0</v>
      </c>
      <c r="L163" s="17">
        <f t="shared" si="68"/>
        <v>0</v>
      </c>
      <c r="M163" s="17">
        <f t="shared" si="68"/>
        <v>0</v>
      </c>
      <c r="N163" s="17">
        <f t="shared" si="68"/>
        <v>0</v>
      </c>
      <c r="O163" s="3" t="e">
        <f ca="1">[4]!FormDisp(J163)</f>
        <v>#NAME?</v>
      </c>
      <c r="P163" s="3"/>
      <c r="Q163" s="3"/>
      <c r="R163" s="3"/>
      <c r="S163" s="3"/>
      <c r="T163" s="3"/>
      <c r="U163" s="3"/>
    </row>
    <row r="164" spans="1:21" ht="15">
      <c r="A164" s="1">
        <f t="shared" si="51"/>
        <v>164</v>
      </c>
      <c r="B164" s="6" t="s">
        <v>167</v>
      </c>
      <c r="C164" s="4"/>
      <c r="D164" s="7"/>
      <c r="E164" s="17">
        <f>+($D$166)/$D$13</f>
        <v>6</v>
      </c>
      <c r="F164" s="17">
        <f>+($D$166)/$D$13</f>
        <v>6</v>
      </c>
      <c r="G164" s="17">
        <f>+($D$166)/$D$13</f>
        <v>6</v>
      </c>
      <c r="H164" s="17">
        <f>+($D$166)/$D$13</f>
        <v>6</v>
      </c>
      <c r="I164" s="17">
        <v>6</v>
      </c>
      <c r="J164" s="17"/>
      <c r="K164" s="17"/>
      <c r="L164" s="17"/>
      <c r="M164" s="17"/>
      <c r="N164" s="17"/>
      <c r="O164" s="3" t="str">
        <f>[4]!FormDisp(J164)</f>
        <v/>
      </c>
      <c r="P164" s="3"/>
      <c r="Q164" s="3"/>
      <c r="R164" s="3"/>
      <c r="S164" s="3"/>
      <c r="T164" s="3"/>
      <c r="U164" s="3"/>
    </row>
    <row r="165" spans="1:21" ht="15">
      <c r="A165" s="1">
        <f t="shared" si="51"/>
        <v>165</v>
      </c>
      <c r="B165" s="6" t="s">
        <v>56</v>
      </c>
      <c r="C165" s="4"/>
      <c r="D165" s="7"/>
      <c r="E165" s="17">
        <f t="shared" ref="E165:N165" si="69">E163+E164</f>
        <v>10.254000000000003</v>
      </c>
      <c r="F165" s="17">
        <f t="shared" si="69"/>
        <v>9.2603999999999971</v>
      </c>
      <c r="G165" s="17">
        <f t="shared" si="69"/>
        <v>8.5136999999999983</v>
      </c>
      <c r="H165" s="17">
        <f t="shared" si="69"/>
        <v>7.6020000000000012</v>
      </c>
      <c r="I165" s="17">
        <v>6.7520999999999995</v>
      </c>
      <c r="J165" s="17">
        <f t="shared" si="69"/>
        <v>0</v>
      </c>
      <c r="K165" s="17">
        <f t="shared" si="69"/>
        <v>0</v>
      </c>
      <c r="L165" s="17">
        <f t="shared" si="69"/>
        <v>0</v>
      </c>
      <c r="M165" s="17">
        <f t="shared" si="69"/>
        <v>0</v>
      </c>
      <c r="N165" s="17">
        <f t="shared" si="69"/>
        <v>0</v>
      </c>
      <c r="O165" s="3" t="e">
        <f ca="1">[4]!FormDisp(J165)</f>
        <v>#NAME?</v>
      </c>
      <c r="P165" s="3"/>
      <c r="Q165" s="3"/>
      <c r="R165" s="3"/>
      <c r="S165" s="3"/>
      <c r="T165" s="3"/>
      <c r="U165" s="3"/>
    </row>
    <row r="166" spans="1:21" ht="15">
      <c r="A166" s="1">
        <f t="shared" si="51"/>
        <v>166</v>
      </c>
      <c r="B166" s="6" t="s">
        <v>57</v>
      </c>
      <c r="C166" s="4"/>
      <c r="D166" s="7">
        <f>+D134</f>
        <v>30</v>
      </c>
      <c r="E166" s="17">
        <f t="shared" ref="E166:N166" si="70">E162-E164</f>
        <v>24</v>
      </c>
      <c r="F166" s="17">
        <f t="shared" si="70"/>
        <v>18</v>
      </c>
      <c r="G166" s="17">
        <f t="shared" si="70"/>
        <v>12</v>
      </c>
      <c r="H166" s="17">
        <f t="shared" si="70"/>
        <v>6</v>
      </c>
      <c r="I166" s="17">
        <v>0</v>
      </c>
      <c r="J166" s="17">
        <f t="shared" si="70"/>
        <v>0</v>
      </c>
      <c r="K166" s="17">
        <f t="shared" si="70"/>
        <v>0</v>
      </c>
      <c r="L166" s="17">
        <f t="shared" si="70"/>
        <v>0</v>
      </c>
      <c r="M166" s="17">
        <f t="shared" si="70"/>
        <v>0</v>
      </c>
      <c r="N166" s="17">
        <f t="shared" si="70"/>
        <v>0</v>
      </c>
      <c r="O166" s="3" t="str">
        <f>[4]!FormDisp(J166)</f>
        <v>=J162-J164</v>
      </c>
      <c r="P166" s="3"/>
      <c r="Q166" s="3"/>
      <c r="R166" s="3"/>
      <c r="S166" s="3"/>
      <c r="T166" s="3"/>
      <c r="U166" s="3"/>
    </row>
    <row r="167" spans="1:21" ht="15">
      <c r="A167" s="1">
        <f t="shared" si="51"/>
        <v>167</v>
      </c>
      <c r="B167" s="6" t="s">
        <v>58</v>
      </c>
      <c r="C167" s="4"/>
      <c r="D167" s="7"/>
      <c r="E167" s="19">
        <f t="shared" ref="E167:N167" si="71">+E63</f>
        <v>0.14180000000000009</v>
      </c>
      <c r="F167" s="19">
        <f t="shared" si="71"/>
        <v>0.13584999999999989</v>
      </c>
      <c r="G167" s="19">
        <f t="shared" si="71"/>
        <v>0.13964999999999989</v>
      </c>
      <c r="H167" s="19">
        <f t="shared" si="71"/>
        <v>0.13350000000000012</v>
      </c>
      <c r="I167" s="19">
        <v>0.12534999999999991</v>
      </c>
      <c r="J167" s="19">
        <f t="shared" si="71"/>
        <v>0.1219611639580902</v>
      </c>
      <c r="K167" s="19">
        <f t="shared" si="71"/>
        <v>0.11681116395808999</v>
      </c>
      <c r="L167" s="19">
        <f t="shared" si="71"/>
        <v>0.11166116395809</v>
      </c>
      <c r="M167" s="19">
        <f t="shared" si="71"/>
        <v>0.11166116395809</v>
      </c>
      <c r="N167" s="19">
        <f t="shared" si="71"/>
        <v>0.11166116395809</v>
      </c>
      <c r="O167" s="3" t="e">
        <f ca="1">[4]!FormDisp(J167)</f>
        <v>#NAME?</v>
      </c>
      <c r="P167" s="3"/>
      <c r="Q167" s="3"/>
      <c r="R167" s="3"/>
      <c r="S167" s="3"/>
      <c r="T167" s="3"/>
      <c r="U167" s="3"/>
    </row>
    <row r="168" spans="1:21" ht="15">
      <c r="A168" s="1">
        <f t="shared" si="51"/>
        <v>168</v>
      </c>
      <c r="B168" s="33" t="s">
        <v>59</v>
      </c>
      <c r="C168" s="4"/>
      <c r="D168" s="46"/>
      <c r="E168" s="47"/>
      <c r="F168" s="47"/>
      <c r="G168" s="47"/>
      <c r="H168" s="48"/>
      <c r="I168" s="48"/>
      <c r="J168" s="48"/>
      <c r="K168" s="48"/>
      <c r="L168" s="48"/>
      <c r="M168" s="48"/>
      <c r="N168" s="48"/>
      <c r="O168" s="3" t="str">
        <f>[4]!FormDisp(J168)</f>
        <v/>
      </c>
      <c r="P168" s="3"/>
      <c r="Q168" s="3"/>
      <c r="R168" s="3"/>
      <c r="S168" s="3"/>
      <c r="T168" s="3"/>
      <c r="U168" s="3"/>
    </row>
    <row r="169" spans="1:21" ht="15">
      <c r="A169" s="1">
        <f t="shared" si="51"/>
        <v>169</v>
      </c>
      <c r="B169" s="6"/>
      <c r="C169" s="69" t="s">
        <v>70</v>
      </c>
      <c r="D169" s="69">
        <v>0</v>
      </c>
      <c r="E169" s="69">
        <v>1</v>
      </c>
      <c r="F169" s="69">
        <v>2</v>
      </c>
      <c r="G169" s="69">
        <v>3</v>
      </c>
      <c r="H169" s="69">
        <v>4</v>
      </c>
      <c r="I169" s="69">
        <v>5</v>
      </c>
      <c r="J169" s="69">
        <v>6</v>
      </c>
      <c r="K169" s="69">
        <v>7</v>
      </c>
      <c r="L169" s="69">
        <v>8</v>
      </c>
      <c r="M169" s="69">
        <v>9</v>
      </c>
      <c r="N169" s="69">
        <v>10</v>
      </c>
      <c r="O169" s="3" t="str">
        <f>[4]!FormDisp(J169)</f>
        <v>6</v>
      </c>
      <c r="P169" s="3"/>
      <c r="Q169" s="3"/>
      <c r="R169" s="3"/>
      <c r="S169" s="3"/>
      <c r="T169" s="3"/>
      <c r="U169" s="3"/>
    </row>
    <row r="170" spans="1:21" ht="15">
      <c r="A170" s="1">
        <f t="shared" si="51"/>
        <v>170</v>
      </c>
      <c r="B170" s="6" t="s">
        <v>54</v>
      </c>
      <c r="C170" s="4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3" t="str">
        <f>[4]!FormDisp(J170)</f>
        <v/>
      </c>
      <c r="P170" s="3"/>
      <c r="Q170" s="3"/>
      <c r="R170" s="3"/>
      <c r="S170" s="3"/>
      <c r="T170" s="3"/>
      <c r="U170" s="3"/>
    </row>
    <row r="171" spans="1:21" ht="15">
      <c r="A171" s="1">
        <f t="shared" si="51"/>
        <v>171</v>
      </c>
      <c r="B171" s="33" t="s">
        <v>60</v>
      </c>
      <c r="C171" s="4"/>
      <c r="D171" s="7"/>
      <c r="E171" s="17">
        <f t="shared" ref="E171:N171" si="72">+D174*E175</f>
        <v>4.6794000000000029</v>
      </c>
      <c r="F171" s="17">
        <f t="shared" si="72"/>
        <v>0</v>
      </c>
      <c r="G171" s="17">
        <f t="shared" si="72"/>
        <v>0</v>
      </c>
      <c r="H171" s="17">
        <f t="shared" si="72"/>
        <v>0</v>
      </c>
      <c r="I171" s="17">
        <v>0</v>
      </c>
      <c r="J171" s="17">
        <f>+I174*J175</f>
        <v>0</v>
      </c>
      <c r="K171" s="17">
        <f t="shared" si="72"/>
        <v>0</v>
      </c>
      <c r="L171" s="17">
        <f t="shared" si="72"/>
        <v>0</v>
      </c>
      <c r="M171" s="17">
        <f t="shared" si="72"/>
        <v>0</v>
      </c>
      <c r="N171" s="17">
        <f t="shared" si="72"/>
        <v>0</v>
      </c>
      <c r="O171" s="195" t="e">
        <f ca="1">[4]!FormDisp(J171)</f>
        <v>#NAME?</v>
      </c>
      <c r="P171" s="3" t="s">
        <v>446</v>
      </c>
      <c r="Q171" s="3"/>
      <c r="R171" s="3"/>
      <c r="S171" s="3"/>
      <c r="T171" s="3"/>
      <c r="U171" s="3"/>
    </row>
    <row r="172" spans="1:21" ht="15">
      <c r="A172" s="1">
        <f t="shared" si="51"/>
        <v>172</v>
      </c>
      <c r="B172" s="33" t="s">
        <v>168</v>
      </c>
      <c r="C172" s="4"/>
      <c r="D172" s="7"/>
      <c r="E172" s="17">
        <f t="shared" ref="E172:N172" si="73">+D174/$D$15</f>
        <v>33</v>
      </c>
      <c r="F172" s="17">
        <f t="shared" si="73"/>
        <v>0</v>
      </c>
      <c r="G172" s="17">
        <f t="shared" si="73"/>
        <v>0</v>
      </c>
      <c r="H172" s="17">
        <f t="shared" si="73"/>
        <v>0</v>
      </c>
      <c r="I172" s="17">
        <v>0</v>
      </c>
      <c r="J172" s="17">
        <f>+I174/$D$15</f>
        <v>0</v>
      </c>
      <c r="K172" s="17">
        <f t="shared" si="73"/>
        <v>0</v>
      </c>
      <c r="L172" s="17">
        <f t="shared" si="73"/>
        <v>0</v>
      </c>
      <c r="M172" s="17">
        <f t="shared" si="73"/>
        <v>0</v>
      </c>
      <c r="N172" s="17">
        <f t="shared" si="73"/>
        <v>0</v>
      </c>
      <c r="O172" s="195" t="str">
        <f>[4]!FormDisp(J172)</f>
        <v>=+I174/$D$15</v>
      </c>
      <c r="P172" s="3" t="s">
        <v>446</v>
      </c>
      <c r="Q172" s="3"/>
      <c r="R172" s="3"/>
      <c r="S172" s="3"/>
      <c r="T172" s="3"/>
      <c r="U172" s="3"/>
    </row>
    <row r="173" spans="1:21" ht="15">
      <c r="A173" s="1">
        <f t="shared" si="51"/>
        <v>173</v>
      </c>
      <c r="B173" s="33" t="s">
        <v>61</v>
      </c>
      <c r="C173" s="4"/>
      <c r="D173" s="7"/>
      <c r="E173" s="17">
        <f t="shared" ref="E173:N173" si="74">SUM(E171:E172)</f>
        <v>37.679400000000001</v>
      </c>
      <c r="F173" s="17">
        <f t="shared" si="74"/>
        <v>0</v>
      </c>
      <c r="G173" s="17">
        <f t="shared" si="74"/>
        <v>0</v>
      </c>
      <c r="H173" s="17">
        <f t="shared" si="74"/>
        <v>0</v>
      </c>
      <c r="I173" s="17">
        <v>0</v>
      </c>
      <c r="J173" s="17">
        <f t="shared" si="74"/>
        <v>0</v>
      </c>
      <c r="K173" s="17">
        <f t="shared" si="74"/>
        <v>0</v>
      </c>
      <c r="L173" s="17">
        <f t="shared" si="74"/>
        <v>0</v>
      </c>
      <c r="M173" s="17">
        <f t="shared" si="74"/>
        <v>0</v>
      </c>
      <c r="N173" s="17">
        <f t="shared" si="74"/>
        <v>0</v>
      </c>
      <c r="O173" s="3" t="e">
        <f ca="1">[4]!FormDisp(J173)</f>
        <v>#NAME?</v>
      </c>
      <c r="P173" s="3"/>
      <c r="Q173" s="3"/>
      <c r="R173" s="3"/>
      <c r="S173" s="3"/>
      <c r="T173" s="3"/>
      <c r="U173" s="3"/>
    </row>
    <row r="174" spans="1:21" ht="15">
      <c r="A174" s="1">
        <f t="shared" si="51"/>
        <v>174</v>
      </c>
      <c r="B174" s="6" t="s">
        <v>57</v>
      </c>
      <c r="C174" s="4"/>
      <c r="D174" s="7">
        <f>+D135</f>
        <v>33</v>
      </c>
      <c r="E174" s="17">
        <f t="shared" ref="E174:N174" si="75">+D174-E172+E135</f>
        <v>0</v>
      </c>
      <c r="F174" s="17">
        <f t="shared" si="75"/>
        <v>0</v>
      </c>
      <c r="G174" s="17">
        <f t="shared" si="75"/>
        <v>0</v>
      </c>
      <c r="H174" s="17">
        <f t="shared" si="75"/>
        <v>0</v>
      </c>
      <c r="I174" s="17">
        <v>0</v>
      </c>
      <c r="J174" s="17">
        <f>+I174-J172+J135</f>
        <v>0</v>
      </c>
      <c r="K174" s="17">
        <f t="shared" si="75"/>
        <v>0</v>
      </c>
      <c r="L174" s="17">
        <f t="shared" si="75"/>
        <v>0</v>
      </c>
      <c r="M174" s="17">
        <f t="shared" si="75"/>
        <v>0</v>
      </c>
      <c r="N174" s="17">
        <f t="shared" si="75"/>
        <v>0</v>
      </c>
      <c r="O174" s="195" t="e">
        <f ca="1">[4]!FormDisp(J174)</f>
        <v>#NAME?</v>
      </c>
      <c r="P174" s="3" t="s">
        <v>446</v>
      </c>
      <c r="Q174" s="3"/>
      <c r="R174" s="3"/>
      <c r="S174" s="3"/>
      <c r="T174" s="3"/>
      <c r="U174" s="3"/>
    </row>
    <row r="175" spans="1:21" ht="15">
      <c r="A175" s="1">
        <f t="shared" si="51"/>
        <v>175</v>
      </c>
      <c r="B175" s="6" t="s">
        <v>58</v>
      </c>
      <c r="C175" s="4"/>
      <c r="D175" s="7"/>
      <c r="E175" s="19">
        <f t="shared" ref="E175:N175" si="76">+E167</f>
        <v>0.14180000000000009</v>
      </c>
      <c r="F175" s="19">
        <f t="shared" si="76"/>
        <v>0.13584999999999989</v>
      </c>
      <c r="G175" s="19">
        <f t="shared" si="76"/>
        <v>0.13964999999999989</v>
      </c>
      <c r="H175" s="19">
        <f t="shared" si="76"/>
        <v>0.13350000000000012</v>
      </c>
      <c r="I175" s="19">
        <v>0.12534999999999991</v>
      </c>
      <c r="J175" s="19">
        <f t="shared" si="76"/>
        <v>0.1219611639580902</v>
      </c>
      <c r="K175" s="19">
        <f t="shared" si="76"/>
        <v>0.11681116395808999</v>
      </c>
      <c r="L175" s="19">
        <f t="shared" si="76"/>
        <v>0.11166116395809</v>
      </c>
      <c r="M175" s="19">
        <f t="shared" si="76"/>
        <v>0.11166116395809</v>
      </c>
      <c r="N175" s="19">
        <f t="shared" si="76"/>
        <v>0.11166116395809</v>
      </c>
      <c r="O175" s="3" t="e">
        <f ca="1">[4]!FormDisp(J175)</f>
        <v>#NAME?</v>
      </c>
      <c r="P175" s="3"/>
      <c r="Q175" s="3"/>
      <c r="R175" s="3"/>
      <c r="S175" s="3"/>
      <c r="T175" s="3"/>
      <c r="U175" s="3"/>
    </row>
    <row r="176" spans="1:21" ht="15">
      <c r="A176" s="1">
        <f t="shared" si="51"/>
        <v>176</v>
      </c>
      <c r="B176" s="6"/>
      <c r="C176" s="69" t="s">
        <v>70</v>
      </c>
      <c r="D176" s="69">
        <v>0</v>
      </c>
      <c r="E176" s="69">
        <v>1</v>
      </c>
      <c r="F176" s="69">
        <v>2</v>
      </c>
      <c r="G176" s="69">
        <v>3</v>
      </c>
      <c r="H176" s="69">
        <v>4</v>
      </c>
      <c r="I176" s="69">
        <v>5</v>
      </c>
      <c r="J176" s="69">
        <v>6</v>
      </c>
      <c r="K176" s="69">
        <v>7</v>
      </c>
      <c r="L176" s="69">
        <v>8</v>
      </c>
      <c r="M176" s="69">
        <v>9</v>
      </c>
      <c r="N176" s="69">
        <v>10</v>
      </c>
      <c r="O176" s="3" t="str">
        <f>[4]!FormDisp(J176)</f>
        <v>6</v>
      </c>
      <c r="P176" s="3"/>
      <c r="Q176" s="3"/>
      <c r="R176" s="3"/>
      <c r="S176" s="3"/>
      <c r="T176" s="3"/>
      <c r="U176" s="3"/>
    </row>
    <row r="177" spans="1:21" ht="15">
      <c r="A177" s="1">
        <f t="shared" si="51"/>
        <v>177</v>
      </c>
      <c r="B177" s="6" t="s">
        <v>54</v>
      </c>
      <c r="C177" s="4"/>
      <c r="D177" s="7"/>
      <c r="E177" s="17">
        <f t="shared" ref="E177:N177" si="77">+D182</f>
        <v>0</v>
      </c>
      <c r="F177" s="17">
        <f t="shared" si="77"/>
        <v>13.252839979999978</v>
      </c>
      <c r="G177" s="17">
        <f t="shared" si="77"/>
        <v>11.92755598199998</v>
      </c>
      <c r="H177" s="17">
        <f t="shared" si="77"/>
        <v>10.602271983999982</v>
      </c>
      <c r="I177" s="17">
        <v>49.506478050671781</v>
      </c>
      <c r="J177" s="17">
        <f>+I182</f>
        <v>44.3382102456046</v>
      </c>
      <c r="K177" s="17">
        <f t="shared" si="77"/>
        <v>39.169942440537419</v>
      </c>
      <c r="L177" s="17">
        <f t="shared" si="77"/>
        <v>34.001674635470238</v>
      </c>
      <c r="M177" s="17">
        <f t="shared" si="77"/>
        <v>40.359719701253475</v>
      </c>
      <c r="N177" s="17">
        <f t="shared" si="77"/>
        <v>34.038820609101258</v>
      </c>
      <c r="O177" s="195" t="str">
        <f>[4]!FormDisp(J177)</f>
        <v>=+I182</v>
      </c>
      <c r="P177" s="3" t="s">
        <v>446</v>
      </c>
      <c r="Q177" s="3"/>
      <c r="R177" s="3"/>
      <c r="S177" s="3"/>
      <c r="T177" s="3"/>
      <c r="U177" s="3"/>
    </row>
    <row r="178" spans="1:21" ht="15">
      <c r="A178" s="1">
        <f t="shared" si="51"/>
        <v>178</v>
      </c>
      <c r="B178" s="33" t="s">
        <v>62</v>
      </c>
      <c r="C178" s="4"/>
      <c r="D178" s="7"/>
      <c r="E178" s="17">
        <f t="shared" ref="E178:N178" si="78">+E183*D182</f>
        <v>0</v>
      </c>
      <c r="F178" s="17">
        <f t="shared" si="78"/>
        <v>1.8003983112829955</v>
      </c>
      <c r="G178" s="17">
        <f t="shared" si="78"/>
        <v>1.6656831928862958</v>
      </c>
      <c r="H178" s="17">
        <f t="shared" si="78"/>
        <v>1.4154033098639989</v>
      </c>
      <c r="I178" s="17">
        <v>6.2056370236517031</v>
      </c>
      <c r="J178" s="17">
        <f>+J183*I182</f>
        <v>5.4075397293724574</v>
      </c>
      <c r="K178" s="17">
        <f t="shared" si="78"/>
        <v>4.5754865686505637</v>
      </c>
      <c r="L178" s="17">
        <f t="shared" si="78"/>
        <v>3.7966665663208725</v>
      </c>
      <c r="M178" s="17">
        <f t="shared" si="78"/>
        <v>4.5066132788642195</v>
      </c>
      <c r="N178" s="17">
        <f t="shared" si="78"/>
        <v>3.8008143289728684</v>
      </c>
      <c r="O178" s="195" t="e">
        <f ca="1">[4]!FormDisp(J178)</f>
        <v>#NAME?</v>
      </c>
      <c r="P178" s="3" t="s">
        <v>446</v>
      </c>
      <c r="Q178" s="3"/>
      <c r="R178" s="3"/>
      <c r="S178" s="3"/>
      <c r="T178" s="3"/>
      <c r="U178" s="3"/>
    </row>
    <row r="179" spans="1:21" ht="15">
      <c r="A179" s="1">
        <f t="shared" si="51"/>
        <v>179</v>
      </c>
      <c r="B179" s="33" t="s">
        <v>69</v>
      </c>
      <c r="C179" s="4"/>
      <c r="D179" s="7"/>
      <c r="E179" s="17">
        <f t="shared" ref="E179:N179" si="79">+D179+D136/$D$14</f>
        <v>0</v>
      </c>
      <c r="F179" s="17">
        <f t="shared" si="79"/>
        <v>1.3252839979999977</v>
      </c>
      <c r="G179" s="17">
        <f t="shared" si="79"/>
        <v>1.3252839979999977</v>
      </c>
      <c r="H179" s="17">
        <f t="shared" si="79"/>
        <v>1.3252839979999977</v>
      </c>
      <c r="I179" s="17">
        <v>5.1682678050671784</v>
      </c>
      <c r="J179" s="17">
        <f>+I179+I136/$D$14</f>
        <v>5.1682678050671784</v>
      </c>
      <c r="K179" s="17">
        <f t="shared" si="79"/>
        <v>5.1682678050671784</v>
      </c>
      <c r="L179" s="17">
        <f t="shared" si="79"/>
        <v>5.1682678050671784</v>
      </c>
      <c r="M179" s="17">
        <f t="shared" si="79"/>
        <v>6.3208990921522199</v>
      </c>
      <c r="N179" s="17">
        <f t="shared" si="79"/>
        <v>6.3208990921522199</v>
      </c>
      <c r="O179" s="195" t="str">
        <f>[4]!FormDisp(J179)</f>
        <v>=+I179+I136/$D$14</v>
      </c>
      <c r="P179" s="3" t="s">
        <v>446</v>
      </c>
      <c r="Q179" s="3"/>
      <c r="R179" s="3"/>
      <c r="S179" s="3"/>
      <c r="T179" s="3"/>
      <c r="U179" s="3"/>
    </row>
    <row r="180" spans="1:21" ht="15">
      <c r="A180" s="1">
        <f t="shared" si="51"/>
        <v>180</v>
      </c>
      <c r="B180" s="33" t="s">
        <v>63</v>
      </c>
      <c r="C180" s="4"/>
      <c r="D180" s="7"/>
      <c r="E180" s="17">
        <f t="shared" ref="E180:N180" si="80">E178+E179</f>
        <v>0</v>
      </c>
      <c r="F180" s="17">
        <f t="shared" si="80"/>
        <v>3.1256823092829933</v>
      </c>
      <c r="G180" s="17">
        <f t="shared" si="80"/>
        <v>2.9909671908862938</v>
      </c>
      <c r="H180" s="17">
        <f t="shared" si="80"/>
        <v>2.7406873078639968</v>
      </c>
      <c r="I180" s="17">
        <v>11.373904828718882</v>
      </c>
      <c r="J180" s="17">
        <f t="shared" si="80"/>
        <v>10.575807534439637</v>
      </c>
      <c r="K180" s="17">
        <f t="shared" si="80"/>
        <v>9.7437543737177421</v>
      </c>
      <c r="L180" s="17">
        <f t="shared" si="80"/>
        <v>8.9649343713880505</v>
      </c>
      <c r="M180" s="17">
        <f t="shared" si="80"/>
        <v>10.827512371016439</v>
      </c>
      <c r="N180" s="17">
        <f t="shared" si="80"/>
        <v>10.121713421125088</v>
      </c>
      <c r="O180" s="3" t="e">
        <f ca="1">[4]!FormDisp(J180)</f>
        <v>#NAME?</v>
      </c>
      <c r="P180" s="3"/>
      <c r="Q180" s="3"/>
      <c r="R180" s="3"/>
      <c r="S180" s="3"/>
      <c r="T180" s="3"/>
      <c r="U180" s="3"/>
    </row>
    <row r="181" spans="1:21" ht="15">
      <c r="A181" s="1">
        <f t="shared" si="51"/>
        <v>181</v>
      </c>
      <c r="B181" s="63" t="s">
        <v>374</v>
      </c>
      <c r="C181" s="4"/>
      <c r="D181" s="7"/>
      <c r="E181" s="17">
        <f>+E136</f>
        <v>13.252839979999978</v>
      </c>
      <c r="F181" s="17">
        <f>+F136</f>
        <v>0</v>
      </c>
      <c r="G181" s="17">
        <f>+G136</f>
        <v>0</v>
      </c>
      <c r="H181" s="17">
        <f>+H136</f>
        <v>40.298363672527245</v>
      </c>
      <c r="I181" s="17"/>
      <c r="J181" s="17">
        <f>+J136</f>
        <v>0</v>
      </c>
      <c r="K181" s="17">
        <f>+K136</f>
        <v>0</v>
      </c>
      <c r="L181" s="17">
        <f>+L136</f>
        <v>11.526312870850413</v>
      </c>
      <c r="M181" s="17">
        <f>+M136</f>
        <v>0</v>
      </c>
      <c r="N181" s="17">
        <f>+N136</f>
        <v>0</v>
      </c>
      <c r="O181" s="3" t="e">
        <f ca="1">[4]!FormDisp(J181)</f>
        <v>#NAME?</v>
      </c>
      <c r="P181" s="3"/>
      <c r="Q181" s="3"/>
      <c r="R181" s="3"/>
      <c r="S181" s="3"/>
      <c r="T181" s="3"/>
      <c r="U181" s="3"/>
    </row>
    <row r="182" spans="1:21" ht="15">
      <c r="A182" s="1">
        <f t="shared" si="51"/>
        <v>182</v>
      </c>
      <c r="B182" s="6" t="s">
        <v>57</v>
      </c>
      <c r="C182" s="4"/>
      <c r="D182" s="7">
        <f>+D136</f>
        <v>0</v>
      </c>
      <c r="E182" s="17">
        <f>+E177-E179+E181</f>
        <v>13.252839979999978</v>
      </c>
      <c r="F182" s="17">
        <f t="shared" ref="F182:M182" si="81">+F177-F179+F181</f>
        <v>11.92755598199998</v>
      </c>
      <c r="G182" s="17">
        <f t="shared" si="81"/>
        <v>10.602271983999982</v>
      </c>
      <c r="H182" s="17">
        <f t="shared" si="81"/>
        <v>49.575351658527225</v>
      </c>
      <c r="I182" s="17">
        <v>44.3382102456046</v>
      </c>
      <c r="J182" s="17">
        <f t="shared" si="81"/>
        <v>39.169942440537419</v>
      </c>
      <c r="K182" s="17">
        <f t="shared" si="81"/>
        <v>34.001674635470238</v>
      </c>
      <c r="L182" s="17">
        <f t="shared" si="81"/>
        <v>40.359719701253475</v>
      </c>
      <c r="M182" s="17">
        <f t="shared" si="81"/>
        <v>34.038820609101258</v>
      </c>
      <c r="N182" s="17">
        <f>+N177-N179+N136</f>
        <v>27.717921516949037</v>
      </c>
      <c r="O182" s="3" t="e">
        <f ca="1">[4]!FormDisp(J182)</f>
        <v>#NAME?</v>
      </c>
      <c r="P182" s="3"/>
      <c r="Q182" s="3"/>
      <c r="R182" s="3"/>
      <c r="S182" s="3"/>
      <c r="T182" s="3"/>
      <c r="U182" s="3"/>
    </row>
    <row r="183" spans="1:21" ht="15">
      <c r="A183" s="1">
        <f t="shared" si="51"/>
        <v>183</v>
      </c>
      <c r="B183" s="6" t="s">
        <v>58</v>
      </c>
      <c r="C183" s="4"/>
      <c r="D183" s="7"/>
      <c r="E183" s="19">
        <f t="shared" ref="E183:N183" si="82">E167</f>
        <v>0.14180000000000009</v>
      </c>
      <c r="F183" s="19">
        <f t="shared" si="82"/>
        <v>0.13584999999999989</v>
      </c>
      <c r="G183" s="19">
        <f t="shared" si="82"/>
        <v>0.13964999999999989</v>
      </c>
      <c r="H183" s="19">
        <f t="shared" si="82"/>
        <v>0.13350000000000012</v>
      </c>
      <c r="I183" s="19">
        <v>0.12534999999999991</v>
      </c>
      <c r="J183" s="19">
        <f t="shared" si="82"/>
        <v>0.1219611639580902</v>
      </c>
      <c r="K183" s="19">
        <f t="shared" si="82"/>
        <v>0.11681116395808999</v>
      </c>
      <c r="L183" s="19">
        <f t="shared" si="82"/>
        <v>0.11166116395809</v>
      </c>
      <c r="M183" s="19">
        <f t="shared" si="82"/>
        <v>0.11166116395809</v>
      </c>
      <c r="N183" s="19">
        <f t="shared" si="82"/>
        <v>0.11166116395809</v>
      </c>
      <c r="O183" s="3" t="e">
        <f ca="1">[4]!FormDisp(J183)</f>
        <v>#NAME?</v>
      </c>
      <c r="P183" s="3"/>
      <c r="Q183" s="3"/>
      <c r="R183" s="3"/>
      <c r="S183" s="3"/>
      <c r="T183" s="3"/>
      <c r="U183" s="3"/>
    </row>
    <row r="184" spans="1:21" ht="15">
      <c r="A184" s="1">
        <f t="shared" si="51"/>
        <v>184</v>
      </c>
      <c r="B184" s="6"/>
      <c r="C184" s="4"/>
      <c r="D184" s="7"/>
      <c r="E184" s="19"/>
      <c r="F184" s="19"/>
      <c r="G184" s="19"/>
      <c r="H184" s="19"/>
      <c r="I184" s="19"/>
      <c r="J184" s="25"/>
      <c r="K184" s="25"/>
      <c r="L184" s="3"/>
      <c r="M184" s="3"/>
      <c r="N184" s="18"/>
      <c r="O184" s="3" t="str">
        <f>[4]!FormDisp(J184)</f>
        <v/>
      </c>
      <c r="P184" s="3"/>
      <c r="Q184" s="3"/>
      <c r="R184" s="3"/>
      <c r="S184" s="3"/>
      <c r="T184" s="3"/>
      <c r="U184" s="3"/>
    </row>
    <row r="185" spans="1:21" ht="15">
      <c r="A185" s="1">
        <f t="shared" si="51"/>
        <v>185</v>
      </c>
      <c r="B185" s="108" t="s">
        <v>216</v>
      </c>
      <c r="C185" s="69" t="s">
        <v>70</v>
      </c>
      <c r="D185" s="69">
        <v>0</v>
      </c>
      <c r="E185" s="69">
        <v>1</v>
      </c>
      <c r="F185" s="69">
        <v>2</v>
      </c>
      <c r="G185" s="69">
        <v>3</v>
      </c>
      <c r="H185" s="69">
        <v>4</v>
      </c>
      <c r="I185" s="69">
        <v>5</v>
      </c>
      <c r="O185" s="3" t="str">
        <f>[4]!FormDisp(J185)</f>
        <v/>
      </c>
      <c r="P185" s="3"/>
      <c r="Q185" s="3"/>
      <c r="R185" s="3"/>
      <c r="S185" s="3"/>
      <c r="T185" s="3"/>
      <c r="U185" s="3"/>
    </row>
    <row r="186" spans="1:21" ht="15">
      <c r="A186" s="1">
        <f t="shared" si="51"/>
        <v>186</v>
      </c>
      <c r="B186" s="43" t="s">
        <v>64</v>
      </c>
      <c r="C186" s="4"/>
      <c r="D186" s="1"/>
      <c r="E186" s="7">
        <f t="shared" ref="E186:N186" si="83">+E56</f>
        <v>381.44736000000006</v>
      </c>
      <c r="F186" s="7">
        <f t="shared" si="83"/>
        <v>410.10849070410239</v>
      </c>
      <c r="G186" s="7">
        <f t="shared" si="83"/>
        <v>444.41995100834208</v>
      </c>
      <c r="H186" s="7">
        <f t="shared" si="83"/>
        <v>479.32424954058615</v>
      </c>
      <c r="I186" s="7">
        <v>515.50391231748915</v>
      </c>
      <c r="J186" s="7">
        <f t="shared" si="83"/>
        <v>557.86792073095796</v>
      </c>
      <c r="K186" s="7">
        <f t="shared" si="83"/>
        <v>600.81092663841389</v>
      </c>
      <c r="L186" s="7">
        <f t="shared" si="83"/>
        <v>643.93366526941804</v>
      </c>
      <c r="M186" s="7">
        <f t="shared" si="83"/>
        <v>696.85200509452579</v>
      </c>
      <c r="N186" s="7">
        <f t="shared" si="83"/>
        <v>754.11916350279284</v>
      </c>
      <c r="O186" s="3" t="str">
        <f>[4]!FormDisp(J186)</f>
        <v>=+J56</v>
      </c>
      <c r="P186" s="3"/>
      <c r="Q186" s="3"/>
      <c r="R186" s="3"/>
      <c r="S186" s="3"/>
      <c r="T186" s="3"/>
      <c r="U186" s="3"/>
    </row>
    <row r="187" spans="1:21" ht="15">
      <c r="A187" s="1">
        <f t="shared" si="51"/>
        <v>187</v>
      </c>
      <c r="B187" s="43" t="s">
        <v>37</v>
      </c>
      <c r="C187" s="4"/>
      <c r="D187" s="1"/>
      <c r="E187" s="7">
        <f t="shared" ref="E187:N187" si="84">+E91</f>
        <v>270.34549999999996</v>
      </c>
      <c r="F187" s="7">
        <f t="shared" si="84"/>
        <v>289.23001604570999</v>
      </c>
      <c r="G187" s="7">
        <f t="shared" si="84"/>
        <v>312.54691746191662</v>
      </c>
      <c r="H187" s="7">
        <f t="shared" si="84"/>
        <v>334.7545220525858</v>
      </c>
      <c r="I187" s="7">
        <v>358.85996088872469</v>
      </c>
      <c r="J187" s="7">
        <f t="shared" si="84"/>
        <v>386.65574003521544</v>
      </c>
      <c r="K187" s="7">
        <f t="shared" si="84"/>
        <v>414.60466561205664</v>
      </c>
      <c r="L187" s="7">
        <f t="shared" si="84"/>
        <v>442.4437895764313</v>
      </c>
      <c r="M187" s="7">
        <f t="shared" si="84"/>
        <v>476.56552576082493</v>
      </c>
      <c r="N187" s="7">
        <f t="shared" si="84"/>
        <v>513.30472464656827</v>
      </c>
      <c r="O187" s="3" t="e">
        <f ca="1">[4]!FormDisp(J187)</f>
        <v>#NAME?</v>
      </c>
      <c r="P187" s="3"/>
      <c r="Q187" s="3"/>
      <c r="R187" s="3"/>
      <c r="S187" s="3"/>
      <c r="T187" s="3"/>
      <c r="U187" s="3"/>
    </row>
    <row r="188" spans="1:21" ht="14.25">
      <c r="A188" s="1">
        <f t="shared" si="51"/>
        <v>188</v>
      </c>
      <c r="B188" s="44" t="s">
        <v>65</v>
      </c>
      <c r="C188" s="4"/>
      <c r="D188" s="1"/>
      <c r="E188" s="7">
        <f t="shared" ref="E188:N188" si="85">E186-E187</f>
        <v>111.1018600000001</v>
      </c>
      <c r="F188" s="7">
        <f t="shared" si="85"/>
        <v>120.87847465839241</v>
      </c>
      <c r="G188" s="7">
        <f t="shared" si="85"/>
        <v>131.87303354642546</v>
      </c>
      <c r="H188" s="7">
        <f t="shared" si="85"/>
        <v>144.56972748800035</v>
      </c>
      <c r="I188" s="7">
        <v>156.64395142876447</v>
      </c>
      <c r="J188" s="7">
        <f t="shared" si="85"/>
        <v>171.21218069574252</v>
      </c>
      <c r="K188" s="7">
        <f t="shared" si="85"/>
        <v>186.20626102635725</v>
      </c>
      <c r="L188" s="7">
        <f t="shared" si="85"/>
        <v>201.48987569298674</v>
      </c>
      <c r="M188" s="7">
        <f t="shared" si="85"/>
        <v>220.28647933370087</v>
      </c>
      <c r="N188" s="7">
        <f t="shared" si="85"/>
        <v>240.81443885622457</v>
      </c>
      <c r="O188" s="3" t="e">
        <f ca="1">[4]!FormDisp(J188)</f>
        <v>#NAME?</v>
      </c>
      <c r="P188" s="3"/>
      <c r="Q188" s="3"/>
      <c r="R188" s="3"/>
      <c r="S188" s="3"/>
      <c r="T188" s="3"/>
      <c r="U188" s="3"/>
    </row>
    <row r="189" spans="1:21" ht="14.25">
      <c r="A189" s="1">
        <f t="shared" si="51"/>
        <v>189</v>
      </c>
      <c r="B189" s="44" t="s">
        <v>310</v>
      </c>
      <c r="C189" s="4"/>
      <c r="D189" s="1"/>
      <c r="E189" s="7">
        <f t="shared" ref="E189:N189" si="86">+E92</f>
        <v>23.436599999999999</v>
      </c>
      <c r="F189" s="7">
        <f t="shared" si="86"/>
        <v>24.972869129999999</v>
      </c>
      <c r="G189" s="7">
        <f t="shared" si="86"/>
        <v>26.4517624398786</v>
      </c>
      <c r="H189" s="7">
        <f t="shared" si="86"/>
        <v>27.99654536636751</v>
      </c>
      <c r="I189" s="7">
        <v>29.607466586748295</v>
      </c>
      <c r="J189" s="7">
        <f t="shared" si="86"/>
        <v>31.053495254845082</v>
      </c>
      <c r="K189" s="7">
        <f t="shared" si="86"/>
        <v>32.413560713269156</v>
      </c>
      <c r="L189" s="7">
        <f t="shared" si="86"/>
        <v>33.669748258711898</v>
      </c>
      <c r="M189" s="7">
        <f t="shared" si="86"/>
        <v>34.974619352478271</v>
      </c>
      <c r="N189" s="7">
        <f t="shared" si="86"/>
        <v>36.330060725483563</v>
      </c>
      <c r="O189" s="3" t="str">
        <f>[4]!FormDisp(J189)</f>
        <v>=+J92</v>
      </c>
      <c r="P189" s="3"/>
      <c r="Q189" s="3"/>
      <c r="R189" s="3"/>
      <c r="S189" s="3"/>
      <c r="T189" s="3"/>
      <c r="U189" s="3"/>
    </row>
    <row r="190" spans="1:21" ht="15">
      <c r="A190" s="1">
        <f t="shared" si="51"/>
        <v>190</v>
      </c>
      <c r="B190" s="6" t="s">
        <v>38</v>
      </c>
      <c r="C190" s="4"/>
      <c r="D190" s="1"/>
      <c r="E190" s="7">
        <f t="shared" ref="E190:N190" si="87">+E98</f>
        <v>52.5229152</v>
      </c>
      <c r="F190" s="7">
        <f t="shared" si="87"/>
        <v>56.494218109287161</v>
      </c>
      <c r="G190" s="7">
        <f t="shared" si="87"/>
        <v>60.717433518051948</v>
      </c>
      <c r="H190" s="7">
        <f t="shared" si="87"/>
        <v>64.983109089425682</v>
      </c>
      <c r="I190" s="7">
        <v>69.192812247936644</v>
      </c>
      <c r="J190" s="7">
        <f t="shared" si="87"/>
        <v>73.336428320287823</v>
      </c>
      <c r="K190" s="7">
        <f t="shared" si="87"/>
        <v>77.354491913615973</v>
      </c>
      <c r="L190" s="7">
        <f t="shared" si="87"/>
        <v>81.198535409591571</v>
      </c>
      <c r="M190" s="7">
        <f t="shared" si="87"/>
        <v>85.23360427504997</v>
      </c>
      <c r="N190" s="7">
        <f t="shared" si="87"/>
        <v>89.469191298463571</v>
      </c>
      <c r="O190" s="3" t="str">
        <f>[4]!FormDisp(J190)</f>
        <v>=+J98</v>
      </c>
      <c r="P190" s="3"/>
      <c r="Q190" s="3"/>
      <c r="R190" s="3"/>
      <c r="S190" s="3"/>
      <c r="T190" s="3"/>
      <c r="U190" s="3"/>
    </row>
    <row r="191" spans="1:21" ht="15">
      <c r="A191" s="1">
        <f t="shared" si="51"/>
        <v>191</v>
      </c>
      <c r="B191" s="50" t="s">
        <v>68</v>
      </c>
      <c r="C191" s="4"/>
      <c r="D191" s="1"/>
      <c r="E191" s="7">
        <f t="shared" ref="E191:N191" si="88">E74</f>
        <v>11.25</v>
      </c>
      <c r="F191" s="7">
        <f t="shared" si="88"/>
        <v>11.25</v>
      </c>
      <c r="G191" s="7">
        <f t="shared" si="88"/>
        <v>11.25</v>
      </c>
      <c r="H191" s="7">
        <f t="shared" si="88"/>
        <v>11.25</v>
      </c>
      <c r="I191" s="7">
        <v>14.07631739747003</v>
      </c>
      <c r="J191" s="7">
        <f t="shared" si="88"/>
        <v>14.07631739747003</v>
      </c>
      <c r="K191" s="7">
        <f t="shared" si="88"/>
        <v>17.595396746837537</v>
      </c>
      <c r="L191" s="7">
        <f t="shared" si="88"/>
        <v>21.994245933546921</v>
      </c>
      <c r="M191" s="7">
        <f t="shared" si="88"/>
        <v>29.905154523735519</v>
      </c>
      <c r="N191" s="7">
        <f t="shared" si="88"/>
        <v>37.381443154669398</v>
      </c>
      <c r="O191" s="3" t="str">
        <f>[4]!FormDisp(J191)</f>
        <v>=J74</v>
      </c>
      <c r="P191" s="3"/>
      <c r="Q191" s="3"/>
      <c r="R191" s="3"/>
      <c r="S191" s="3"/>
      <c r="T191" s="3"/>
      <c r="U191" s="3"/>
    </row>
    <row r="192" spans="1:21" ht="12.75" customHeight="1">
      <c r="A192" s="1">
        <f t="shared" si="51"/>
        <v>192</v>
      </c>
      <c r="B192" s="44" t="s">
        <v>66</v>
      </c>
      <c r="C192" s="4"/>
      <c r="D192" s="1"/>
      <c r="E192" s="7">
        <f t="shared" ref="E192:N192" si="89">E188-E190-E191-E189</f>
        <v>23.892344800000103</v>
      </c>
      <c r="F192" s="7">
        <f t="shared" si="89"/>
        <v>28.161387419105246</v>
      </c>
      <c r="G192" s="7">
        <f t="shared" si="89"/>
        <v>33.453837588494913</v>
      </c>
      <c r="H192" s="7">
        <f t="shared" si="89"/>
        <v>40.340073032207158</v>
      </c>
      <c r="I192" s="7">
        <v>43.767355196609493</v>
      </c>
      <c r="J192" s="7">
        <f t="shared" si="89"/>
        <v>52.745939723139578</v>
      </c>
      <c r="K192" s="7">
        <f t="shared" si="89"/>
        <v>58.842811652634587</v>
      </c>
      <c r="L192" s="7">
        <f t="shared" si="89"/>
        <v>64.62734609113636</v>
      </c>
      <c r="M192" s="7">
        <f t="shared" si="89"/>
        <v>70.173101182437108</v>
      </c>
      <c r="N192" s="7">
        <f t="shared" si="89"/>
        <v>77.633743677608052</v>
      </c>
      <c r="O192" s="3" t="e">
        <f ca="1">[4]!FormDisp(J192)</f>
        <v>#NAME?</v>
      </c>
      <c r="P192" s="9"/>
      <c r="Q192" s="9"/>
      <c r="R192" s="9"/>
      <c r="S192" s="9"/>
      <c r="T192" s="3"/>
      <c r="U192" s="3"/>
    </row>
    <row r="193" spans="1:21" ht="30">
      <c r="A193" s="1">
        <f t="shared" si="51"/>
        <v>193</v>
      </c>
      <c r="B193" s="50" t="s">
        <v>213</v>
      </c>
      <c r="C193" s="4"/>
      <c r="D193" s="1"/>
      <c r="E193" s="7">
        <f t="shared" ref="E193:N193" si="90">+E163+E178+E171</f>
        <v>8.933400000000006</v>
      </c>
      <c r="F193" s="7">
        <f t="shared" si="90"/>
        <v>5.0607983112829924</v>
      </c>
      <c r="G193" s="7">
        <f t="shared" si="90"/>
        <v>4.1793831928862932</v>
      </c>
      <c r="H193" s="7">
        <f t="shared" si="90"/>
        <v>3.0174033098640001</v>
      </c>
      <c r="I193" s="7">
        <v>6.9577370236517027</v>
      </c>
      <c r="J193" s="7">
        <f t="shared" si="90"/>
        <v>5.4075397293724574</v>
      </c>
      <c r="K193" s="7">
        <f t="shared" si="90"/>
        <v>4.5754865686505637</v>
      </c>
      <c r="L193" s="7">
        <f t="shared" si="90"/>
        <v>3.7966665663208725</v>
      </c>
      <c r="M193" s="7">
        <f t="shared" si="90"/>
        <v>4.5066132788642195</v>
      </c>
      <c r="N193" s="7">
        <f t="shared" si="90"/>
        <v>3.8008143289728684</v>
      </c>
      <c r="O193" s="3" t="e">
        <f ca="1">[4]!FormDisp(J193)</f>
        <v>#NAME?</v>
      </c>
      <c r="P193" s="30"/>
      <c r="Q193" s="30"/>
      <c r="R193" s="30"/>
      <c r="S193" s="30"/>
      <c r="T193" s="3"/>
      <c r="U193" s="3"/>
    </row>
    <row r="194" spans="1:21" ht="30">
      <c r="A194" s="1">
        <f t="shared" si="51"/>
        <v>194</v>
      </c>
      <c r="B194" s="50" t="s">
        <v>214</v>
      </c>
      <c r="C194" s="4"/>
      <c r="D194" s="1"/>
      <c r="E194" s="7">
        <f t="shared" ref="E194:N194" si="91">+E62*D154</f>
        <v>0</v>
      </c>
      <c r="F194" s="7">
        <f t="shared" si="91"/>
        <v>0.82317499999999888</v>
      </c>
      <c r="G194" s="7">
        <f t="shared" si="91"/>
        <v>1.1227440409409486</v>
      </c>
      <c r="H194" s="7">
        <f t="shared" si="91"/>
        <v>2.5976720834126081</v>
      </c>
      <c r="I194" s="7">
        <v>2.5954349780477033E-16</v>
      </c>
      <c r="J194" s="7">
        <f>+J62*I207</f>
        <v>2.0577672236937659</v>
      </c>
      <c r="K194" s="7">
        <f t="shared" si="91"/>
        <v>2.1383767835987513</v>
      </c>
      <c r="L194" s="7">
        <f t="shared" si="91"/>
        <v>2.2772266227075182</v>
      </c>
      <c r="M194" s="7">
        <f t="shared" si="91"/>
        <v>0</v>
      </c>
      <c r="N194" s="7">
        <f t="shared" si="91"/>
        <v>0.1956560022611897</v>
      </c>
      <c r="O194" s="195" t="e">
        <f ca="1">[4]!FormDisp(J194)</f>
        <v>#NAME?</v>
      </c>
      <c r="P194" s="195" t="e">
        <f ca="1">[4]!FormDisp(K194)</f>
        <v>#NAME?</v>
      </c>
      <c r="Q194" s="49"/>
      <c r="R194" s="49"/>
      <c r="S194" s="49"/>
      <c r="T194" s="3"/>
      <c r="U194" s="3"/>
    </row>
    <row r="195" spans="1:21" ht="30">
      <c r="A195" s="1">
        <f t="shared" si="51"/>
        <v>195</v>
      </c>
      <c r="B195" s="50" t="s">
        <v>215</v>
      </c>
      <c r="C195" s="4"/>
      <c r="D195" s="37"/>
      <c r="E195" s="7">
        <f t="shared" ref="E195:N195" si="92">E192+E194-E193</f>
        <v>14.958944800000097</v>
      </c>
      <c r="F195" s="7">
        <f t="shared" si="92"/>
        <v>23.923764107822251</v>
      </c>
      <c r="G195" s="7">
        <f t="shared" si="92"/>
        <v>30.397198436549573</v>
      </c>
      <c r="H195" s="7">
        <f t="shared" si="92"/>
        <v>39.920341805755768</v>
      </c>
      <c r="I195" s="7">
        <v>36.809618172957791</v>
      </c>
      <c r="J195" s="7">
        <f t="shared" si="92"/>
        <v>49.396167217460885</v>
      </c>
      <c r="K195" s="7">
        <f t="shared" si="92"/>
        <v>56.405701867582778</v>
      </c>
      <c r="L195" s="7">
        <f t="shared" si="92"/>
        <v>63.107906147523003</v>
      </c>
      <c r="M195" s="7">
        <f t="shared" si="92"/>
        <v>65.666487903572886</v>
      </c>
      <c r="N195" s="7">
        <f t="shared" si="92"/>
        <v>74.028585350896378</v>
      </c>
      <c r="O195" s="3" t="e">
        <f ca="1">[4]!FormDisp(J195)</f>
        <v>#NAME?</v>
      </c>
      <c r="P195" s="30"/>
      <c r="Q195" s="30"/>
      <c r="R195" s="30"/>
      <c r="S195" s="30"/>
      <c r="T195" s="3"/>
      <c r="U195" s="3"/>
    </row>
    <row r="196" spans="1:21" ht="15">
      <c r="A196" s="1">
        <f t="shared" si="51"/>
        <v>196</v>
      </c>
      <c r="B196" s="50" t="s">
        <v>217</v>
      </c>
      <c r="C196" s="4"/>
      <c r="E196" s="71">
        <f t="shared" ref="E196:N196" si="93">IF(E195&lt;=0,0,E195*$D$8)</f>
        <v>5.2356306800000336</v>
      </c>
      <c r="F196" s="71">
        <f t="shared" si="93"/>
        <v>8.3733174377377875</v>
      </c>
      <c r="G196" s="71">
        <f t="shared" si="93"/>
        <v>10.639019452792351</v>
      </c>
      <c r="H196" s="71">
        <f t="shared" si="93"/>
        <v>13.972119632014518</v>
      </c>
      <c r="I196" s="71">
        <v>12.883366360535225</v>
      </c>
      <c r="J196" s="71">
        <f t="shared" si="93"/>
        <v>17.288658526111309</v>
      </c>
      <c r="K196" s="71">
        <f t="shared" si="93"/>
        <v>19.741995653653969</v>
      </c>
      <c r="L196" s="71">
        <f t="shared" si="93"/>
        <v>22.087767151633049</v>
      </c>
      <c r="M196" s="71">
        <f t="shared" si="93"/>
        <v>22.983270766250509</v>
      </c>
      <c r="N196" s="71">
        <f t="shared" si="93"/>
        <v>25.91000487281373</v>
      </c>
      <c r="O196" s="3" t="e">
        <f ca="1">[4]!FormDisp(J196)</f>
        <v>#NAME?</v>
      </c>
      <c r="P196" s="30"/>
      <c r="Q196" s="30"/>
      <c r="R196" s="30"/>
      <c r="S196" s="30"/>
      <c r="T196" s="3"/>
      <c r="U196" s="3"/>
    </row>
    <row r="197" spans="1:21" ht="14.25">
      <c r="A197" s="1">
        <f t="shared" si="51"/>
        <v>197</v>
      </c>
      <c r="B197" s="64" t="s">
        <v>218</v>
      </c>
      <c r="C197" s="4"/>
      <c r="D197" s="7"/>
      <c r="E197" s="7">
        <f t="shared" ref="E197:N197" si="94">E195-E196</f>
        <v>9.7233141200000635</v>
      </c>
      <c r="F197" s="7">
        <f t="shared" si="94"/>
        <v>15.550446670084463</v>
      </c>
      <c r="G197" s="7">
        <f t="shared" si="94"/>
        <v>19.758178983757222</v>
      </c>
      <c r="H197" s="7">
        <f t="shared" si="94"/>
        <v>25.94822217374125</v>
      </c>
      <c r="I197" s="7">
        <v>23.926251812422564</v>
      </c>
      <c r="J197" s="7">
        <f t="shared" si="94"/>
        <v>32.10750869134958</v>
      </c>
      <c r="K197" s="7">
        <f t="shared" si="94"/>
        <v>36.663706213928805</v>
      </c>
      <c r="L197" s="7">
        <f t="shared" si="94"/>
        <v>41.020138995889951</v>
      </c>
      <c r="M197" s="7">
        <f t="shared" si="94"/>
        <v>42.683217137322373</v>
      </c>
      <c r="N197" s="7">
        <f t="shared" si="94"/>
        <v>48.118580478082649</v>
      </c>
      <c r="O197" s="3" t="e">
        <f ca="1">[4]!FormDisp(J197)</f>
        <v>#NAME?</v>
      </c>
      <c r="P197" s="9"/>
      <c r="Q197" s="9"/>
      <c r="R197" s="9"/>
      <c r="S197" s="9"/>
      <c r="T197" s="3"/>
      <c r="U197" s="3"/>
    </row>
    <row r="198" spans="1:21" ht="15">
      <c r="A198" s="1">
        <f t="shared" si="51"/>
        <v>198</v>
      </c>
      <c r="B198" s="50" t="s">
        <v>219</v>
      </c>
      <c r="C198" s="52"/>
      <c r="D198" s="1"/>
      <c r="E198" s="7">
        <f>IF(E197&lt;0,0,E197*E34)</f>
        <v>7.0007861664000455</v>
      </c>
      <c r="F198" s="7">
        <f>IF(F197&lt;0,0,F197*F34)</f>
        <v>11.351826069161659</v>
      </c>
      <c r="G198" s="7">
        <f>IF(G197&lt;0,0,G197*G34)</f>
        <v>15.213797817493061</v>
      </c>
      <c r="H198" s="7">
        <f>IF(H197&lt;0,0,H197*H34)</f>
        <v>16.866344412931813</v>
      </c>
      <c r="I198" s="7">
        <v>17.167085675413187</v>
      </c>
      <c r="J198" s="7">
        <f>IF(J197&lt;0,0,J197*J34)</f>
        <v>23.050654097551163</v>
      </c>
      <c r="K198" s="7">
        <f>IF(K197&lt;0,0,K197*K34)</f>
        <v>26.321643886970381</v>
      </c>
      <c r="L198" s="7">
        <f>IF(L197&lt;0,0,L197*L34)</f>
        <v>29.449218378082293</v>
      </c>
      <c r="M198" s="7">
        <f>IF(M197&lt;0,0,M197*M34)</f>
        <v>30.643177066807503</v>
      </c>
      <c r="N198" s="7">
        <f>IF(N197&lt;0,0,N197*N34)</f>
        <v>34.545338441792367</v>
      </c>
      <c r="O198" s="3" t="e">
        <f ca="1">[4]!FormDisp(J198)</f>
        <v>#NAME?</v>
      </c>
      <c r="P198" s="3"/>
      <c r="Q198" s="9"/>
      <c r="R198" s="9"/>
      <c r="S198" s="9"/>
      <c r="T198" s="3"/>
      <c r="U198" s="3"/>
    </row>
    <row r="199" spans="1:21" ht="30">
      <c r="A199" s="1">
        <f t="shared" si="51"/>
        <v>199</v>
      </c>
      <c r="B199" s="50" t="s">
        <v>220</v>
      </c>
      <c r="C199" s="4"/>
      <c r="D199" s="1"/>
      <c r="E199" s="7">
        <f>D199-D198</f>
        <v>0</v>
      </c>
      <c r="F199" s="7">
        <f>+E199+E197-E198</f>
        <v>2.722527953600018</v>
      </c>
      <c r="G199" s="7">
        <f t="shared" ref="G199:N199" si="95">+F199+F197-F198</f>
        <v>6.9211485545228246</v>
      </c>
      <c r="H199" s="7">
        <f t="shared" si="95"/>
        <v>11.465529720786988</v>
      </c>
      <c r="I199" s="7">
        <v>20.503712775562001</v>
      </c>
      <c r="J199" s="7">
        <f>+I220+I197-I198</f>
        <v>27.262878912571377</v>
      </c>
      <c r="K199" s="7">
        <f t="shared" si="95"/>
        <v>36.319733506369801</v>
      </c>
      <c r="L199" s="7">
        <f t="shared" si="95"/>
        <v>46.661795833328227</v>
      </c>
      <c r="M199" s="7">
        <f t="shared" si="95"/>
        <v>58.232716451135886</v>
      </c>
      <c r="N199" s="7">
        <f t="shared" si="95"/>
        <v>70.272756521650763</v>
      </c>
      <c r="O199" s="195" t="str">
        <f>[4]!FormDisp(J199)</f>
        <v>=+I220+I197-I198</v>
      </c>
      <c r="P199" s="195" t="e">
        <f ca="1">[4]!FormDisp(K199)</f>
        <v>#NAME?</v>
      </c>
      <c r="Q199" s="9"/>
      <c r="R199" s="9"/>
      <c r="S199" s="9"/>
      <c r="T199" s="3"/>
      <c r="U199" s="3"/>
    </row>
    <row r="200" spans="1:21" ht="12.75">
      <c r="A200" s="1">
        <f t="shared" si="51"/>
        <v>200</v>
      </c>
      <c r="B200" s="104" t="s">
        <v>221</v>
      </c>
      <c r="C200" s="28"/>
      <c r="E200" s="7">
        <f t="shared" ref="E200:N200" si="96">+E191*E42</f>
        <v>0</v>
      </c>
      <c r="F200" s="7">
        <f t="shared" si="96"/>
        <v>0</v>
      </c>
      <c r="G200" s="7">
        <f t="shared" si="96"/>
        <v>0</v>
      </c>
      <c r="H200" s="7">
        <f t="shared" si="96"/>
        <v>0</v>
      </c>
      <c r="I200" s="7">
        <v>0</v>
      </c>
      <c r="J200" s="7">
        <f t="shared" si="96"/>
        <v>0</v>
      </c>
      <c r="K200" s="7">
        <f t="shared" si="96"/>
        <v>0</v>
      </c>
      <c r="L200" s="7">
        <f t="shared" si="96"/>
        <v>0</v>
      </c>
      <c r="M200" s="7">
        <f t="shared" si="96"/>
        <v>0</v>
      </c>
      <c r="N200" s="7">
        <f t="shared" si="96"/>
        <v>0</v>
      </c>
      <c r="O200" s="3" t="str">
        <f>[4]!FormDisp(J200)</f>
        <v>=+J191*J42</v>
      </c>
      <c r="P200" s="19"/>
      <c r="Q200" s="53"/>
      <c r="R200" s="53"/>
      <c r="S200" s="53"/>
      <c r="T200" s="3"/>
      <c r="U200" s="3"/>
    </row>
    <row r="201" spans="1:21" ht="12.75">
      <c r="A201" s="1">
        <f t="shared" si="51"/>
        <v>201</v>
      </c>
      <c r="F201" s="60"/>
      <c r="G201" s="60"/>
      <c r="H201" s="60"/>
      <c r="I201" s="60"/>
      <c r="J201" s="60"/>
      <c r="K201" s="60"/>
      <c r="L201" s="3"/>
      <c r="M201" s="3"/>
      <c r="N201" s="3"/>
      <c r="O201" s="3" t="str">
        <f>[4]!FormDisp(J201)</f>
        <v/>
      </c>
      <c r="P201" s="3"/>
      <c r="Q201" s="3"/>
      <c r="R201" s="3"/>
      <c r="S201" s="3"/>
      <c r="T201" s="3"/>
      <c r="U201" s="3"/>
    </row>
    <row r="202" spans="1:21" ht="15">
      <c r="A202" s="1">
        <f t="shared" si="51"/>
        <v>202</v>
      </c>
      <c r="B202" s="108" t="s">
        <v>262</v>
      </c>
      <c r="J202" s="25"/>
      <c r="K202" s="25"/>
      <c r="L202" s="3"/>
      <c r="M202" s="3"/>
      <c r="N202" s="3"/>
      <c r="O202" s="3" t="str">
        <f>[4]!FormDisp(J202)</f>
        <v/>
      </c>
      <c r="P202" s="3"/>
      <c r="Q202" s="3"/>
      <c r="R202" s="3"/>
      <c r="S202" s="3"/>
      <c r="T202" s="3"/>
      <c r="U202" s="3"/>
    </row>
    <row r="203" spans="1:21" ht="15">
      <c r="A203" s="1">
        <f t="shared" si="51"/>
        <v>203</v>
      </c>
      <c r="B203" s="56" t="s">
        <v>263</v>
      </c>
      <c r="C203" s="69" t="s">
        <v>70</v>
      </c>
      <c r="D203" s="70">
        <v>0</v>
      </c>
      <c r="E203" s="70">
        <v>1</v>
      </c>
      <c r="F203" s="70">
        <v>2</v>
      </c>
      <c r="G203" s="70">
        <v>3</v>
      </c>
      <c r="H203" s="70">
        <v>4</v>
      </c>
      <c r="I203" s="70">
        <v>5</v>
      </c>
      <c r="J203" s="75"/>
      <c r="K203" s="75"/>
      <c r="L203" s="3"/>
      <c r="M203" s="3"/>
      <c r="N203" s="3"/>
      <c r="O203" s="3" t="str">
        <f>[4]!FormDisp(J203)</f>
        <v/>
      </c>
      <c r="P203" s="3"/>
      <c r="Q203" s="3"/>
      <c r="R203" s="3"/>
      <c r="S203" s="3"/>
      <c r="T203" s="3"/>
      <c r="U203" s="3"/>
    </row>
    <row r="204" spans="1:21" ht="15">
      <c r="A204" s="1">
        <f t="shared" si="51"/>
        <v>204</v>
      </c>
      <c r="B204" s="33" t="s">
        <v>264</v>
      </c>
      <c r="C204" s="4" t="s">
        <v>71</v>
      </c>
      <c r="D204" s="7">
        <f t="shared" ref="D204:H204" si="97">D157</f>
        <v>13</v>
      </c>
      <c r="E204" s="7">
        <f t="shared" si="97"/>
        <v>0</v>
      </c>
      <c r="F204" s="7">
        <f t="shared" si="97"/>
        <v>11</v>
      </c>
      <c r="G204" s="7">
        <f t="shared" si="97"/>
        <v>12</v>
      </c>
      <c r="H204" s="7">
        <f t="shared" si="97"/>
        <v>13</v>
      </c>
      <c r="I204" s="7">
        <v>14.000000000000014</v>
      </c>
      <c r="J204" s="7">
        <f>J157</f>
        <v>12.06144665202082</v>
      </c>
      <c r="K204" s="7">
        <f>K157</f>
        <v>12.989900781721516</v>
      </c>
      <c r="L204" s="7">
        <f>L157</f>
        <v>13.922240843156466</v>
      </c>
      <c r="M204" s="7">
        <f>M157</f>
        <v>15.066367811198894</v>
      </c>
      <c r="N204" s="7">
        <f>N157</f>
        <v>16.304518904649662</v>
      </c>
      <c r="O204" s="3" t="e">
        <f ca="1">[4]!FormDisp(J204)</f>
        <v>#NAME?</v>
      </c>
      <c r="P204" s="3"/>
      <c r="Q204" s="3"/>
      <c r="R204" s="3"/>
      <c r="S204" s="3"/>
      <c r="T204" s="3"/>
      <c r="U204" s="3"/>
    </row>
    <row r="205" spans="1:21" ht="30">
      <c r="A205" s="1">
        <f t="shared" si="51"/>
        <v>205</v>
      </c>
      <c r="B205" s="56" t="s">
        <v>265</v>
      </c>
      <c r="C205" s="4" t="s">
        <v>72</v>
      </c>
      <c r="D205" s="7">
        <f t="shared" ref="D205:H205" si="98">D103</f>
        <v>0</v>
      </c>
      <c r="E205" s="7">
        <f t="shared" si="98"/>
        <v>22.886841600000004</v>
      </c>
      <c r="F205" s="7">
        <f t="shared" si="98"/>
        <v>24.606509442246143</v>
      </c>
      <c r="G205" s="7">
        <f t="shared" si="98"/>
        <v>17.776798040333684</v>
      </c>
      <c r="H205" s="7">
        <f t="shared" si="98"/>
        <v>33.552697467841035</v>
      </c>
      <c r="I205" s="7">
        <v>15.465117369524673</v>
      </c>
      <c r="J205" s="7">
        <f>J103</f>
        <v>29.009131878009818</v>
      </c>
      <c r="K205" s="7">
        <f>K103</f>
        <v>31.242168185197524</v>
      </c>
      <c r="L205" s="7">
        <f>L103</f>
        <v>33.48455059400974</v>
      </c>
      <c r="M205" s="7">
        <f>M103</f>
        <v>36.236304264915347</v>
      </c>
      <c r="N205" s="7">
        <f>N103</f>
        <v>39.214196502145228</v>
      </c>
      <c r="O205" s="3" t="e">
        <f ca="1">[4]!FormDisp(J205)</f>
        <v>#NAME?</v>
      </c>
      <c r="P205" s="3"/>
      <c r="Q205" s="3"/>
      <c r="R205" s="3"/>
      <c r="S205" s="3"/>
      <c r="T205" s="3"/>
      <c r="U205" s="3"/>
    </row>
    <row r="206" spans="1:21" ht="15">
      <c r="A206" s="1">
        <f t="shared" si="51"/>
        <v>206</v>
      </c>
      <c r="B206" s="56" t="s">
        <v>266</v>
      </c>
      <c r="C206" s="4" t="s">
        <v>72</v>
      </c>
      <c r="D206" s="7">
        <f t="shared" ref="D206:H206" si="99">+D90</f>
        <v>20</v>
      </c>
      <c r="E206" s="7">
        <f t="shared" si="99"/>
        <v>22.637624999999989</v>
      </c>
      <c r="F206" s="7">
        <f t="shared" si="99"/>
        <v>23.249470526956795</v>
      </c>
      <c r="G206" s="7">
        <f t="shared" si="99"/>
        <v>28.259760211266673</v>
      </c>
      <c r="H206" s="7">
        <f t="shared" si="99"/>
        <v>28.58684927336196</v>
      </c>
      <c r="I206" s="7">
        <v>30.262332419423046</v>
      </c>
      <c r="J206" s="7">
        <f>+J90</f>
        <v>32.926155655999928</v>
      </c>
      <c r="K206" s="7">
        <f>+K90</f>
        <v>35.29398334238266</v>
      </c>
      <c r="L206" s="7">
        <f>+L90</f>
        <v>37.649325556037411</v>
      </c>
      <c r="M206" s="7">
        <f>+M90</f>
        <v>40.551772302073225</v>
      </c>
      <c r="N206" s="7">
        <f>+N90</f>
        <v>43.677973311675736</v>
      </c>
      <c r="O206" s="3" t="e">
        <f ca="1">[4]!FormDisp(J206)</f>
        <v>#NAME?</v>
      </c>
      <c r="P206" s="3"/>
      <c r="Q206" s="3"/>
      <c r="R206" s="3"/>
      <c r="S206" s="3"/>
      <c r="T206" s="3"/>
      <c r="U206" s="3"/>
    </row>
    <row r="207" spans="1:21" ht="15">
      <c r="A207" s="1">
        <f t="shared" si="51"/>
        <v>207</v>
      </c>
      <c r="B207" s="56" t="s">
        <v>258</v>
      </c>
      <c r="C207" s="4" t="s">
        <v>71</v>
      </c>
      <c r="D207" s="7">
        <f>SUM($D$154:D154)-SUM($D$152:D152)</f>
        <v>0</v>
      </c>
      <c r="E207" s="7">
        <f>SUM($D$154:E154)-SUM($D$152:E152)</f>
        <v>10</v>
      </c>
      <c r="F207" s="7">
        <f>SUM($D$154:F154)-SUM($D$152:F152)</f>
        <v>13.727155409474875</v>
      </c>
      <c r="G207" s="7">
        <f>SUM($D$154:G154)-SUM($D$152:G152)</f>
        <v>33.101906128226872</v>
      </c>
      <c r="H207" s="7">
        <f>SUM($D$154:H154)-SUM($D$152:H152)</f>
        <v>0</v>
      </c>
      <c r="I207" s="7">
        <v>30.654608375014135</v>
      </c>
      <c r="J207" s="7">
        <f>+J154</f>
        <v>34.502469179924219</v>
      </c>
      <c r="K207" s="7">
        <f>SUM($D$154:K154)-SUM($D$152:K152)</f>
        <v>40.072616650521681</v>
      </c>
      <c r="L207" s="7">
        <f>SUM($D$154:L154)-SUM($D$152:L152)</f>
        <v>0</v>
      </c>
      <c r="M207" s="7">
        <f>SUM($D$154:M154)-SUM($D$152:M152)</f>
        <v>3.4429809909144353</v>
      </c>
      <c r="N207" s="7">
        <f>SUM($D$154:N154)-SUM($D$152:N152)</f>
        <v>10.803684472088065</v>
      </c>
      <c r="O207" s="3" t="e">
        <f ca="1">[4]!FormDisp(J207)</f>
        <v>#NAME?</v>
      </c>
      <c r="P207" s="3"/>
      <c r="Q207" s="3"/>
      <c r="R207" s="3"/>
      <c r="S207" s="3"/>
      <c r="T207" s="3"/>
      <c r="U207" s="3"/>
    </row>
    <row r="208" spans="1:21" ht="15">
      <c r="A208" s="1">
        <f t="shared" si="51"/>
        <v>208</v>
      </c>
      <c r="B208" s="56" t="s">
        <v>267</v>
      </c>
      <c r="C208" s="4"/>
      <c r="D208" s="7">
        <f t="shared" ref="D208:H208" si="100">SUM(D204:D207)</f>
        <v>33</v>
      </c>
      <c r="E208" s="7">
        <f t="shared" si="100"/>
        <v>55.524466599999997</v>
      </c>
      <c r="F208" s="7">
        <f>SUM(F204:F207)</f>
        <v>72.58313537867781</v>
      </c>
      <c r="G208" s="7">
        <f t="shared" si="100"/>
        <v>91.138464379827226</v>
      </c>
      <c r="H208" s="7">
        <f t="shared" si="100"/>
        <v>75.139546741202992</v>
      </c>
      <c r="I208" s="7">
        <v>90.382058163961872</v>
      </c>
      <c r="J208" s="7">
        <f>SUM(J204:J207)</f>
        <v>108.49920336595478</v>
      </c>
      <c r="K208" s="7">
        <f>SUM(K204:K207)</f>
        <v>119.59866895982339</v>
      </c>
      <c r="L208" s="7">
        <f>SUM(L204:L207)</f>
        <v>85.056116993203617</v>
      </c>
      <c r="M208" s="7">
        <f>SUM(M204:M207)</f>
        <v>95.297425369101902</v>
      </c>
      <c r="N208" s="7">
        <f>SUM(N204:N207)</f>
        <v>110.00037319055869</v>
      </c>
      <c r="O208" s="3" t="e">
        <f ca="1">[4]!FormDisp(J208)</f>
        <v>#NAME?</v>
      </c>
      <c r="P208" s="3"/>
      <c r="Q208" s="3"/>
      <c r="R208" s="3"/>
      <c r="S208" s="3"/>
      <c r="T208" s="3"/>
      <c r="U208" s="3"/>
    </row>
    <row r="209" spans="1:21" ht="15">
      <c r="A209" s="1"/>
      <c r="B209" s="54" t="s">
        <v>444</v>
      </c>
      <c r="C209" s="4"/>
      <c r="D209" s="7">
        <f>+activo_fijo</f>
        <v>45</v>
      </c>
      <c r="E209" s="7">
        <f>+D209+E76</f>
        <v>45</v>
      </c>
      <c r="F209" s="7">
        <f t="shared" ref="F209:N209" si="101">+E209+F76</f>
        <v>45</v>
      </c>
      <c r="G209" s="7">
        <f t="shared" si="101"/>
        <v>45</v>
      </c>
      <c r="H209" s="7">
        <f t="shared" si="101"/>
        <v>101.30526958988011</v>
      </c>
      <c r="I209" s="7">
        <f t="shared" si="101"/>
        <v>101.30526958988011</v>
      </c>
      <c r="J209" s="7">
        <f t="shared" si="101"/>
        <v>115.38158698735015</v>
      </c>
      <c r="K209" s="7">
        <f t="shared" si="101"/>
        <v>132.97698373418768</v>
      </c>
      <c r="L209" s="7">
        <f t="shared" si="101"/>
        <v>220.92588768482221</v>
      </c>
      <c r="M209" s="7">
        <f t="shared" si="101"/>
        <v>250.83104220855773</v>
      </c>
      <c r="N209" s="7">
        <f t="shared" si="101"/>
        <v>288.21248536322713</v>
      </c>
      <c r="O209" s="3" t="str">
        <f>[4]!FormDisp(J209)</f>
        <v>=+I209+J76</v>
      </c>
      <c r="P209" s="3"/>
      <c r="Q209" s="3"/>
      <c r="R209" s="3"/>
      <c r="S209" s="3"/>
      <c r="T209" s="3"/>
      <c r="U209" s="3"/>
    </row>
    <row r="210" spans="1:21" ht="15">
      <c r="A210" s="1"/>
      <c r="B210" s="54" t="s">
        <v>445</v>
      </c>
      <c r="C210" s="4"/>
      <c r="D210" s="7">
        <f>+D191</f>
        <v>0</v>
      </c>
      <c r="E210" s="7">
        <f>+D210+E191</f>
        <v>11.25</v>
      </c>
      <c r="F210" s="7">
        <f t="shared" ref="F210:N210" si="102">+E210+F191</f>
        <v>22.5</v>
      </c>
      <c r="G210" s="7">
        <f t="shared" si="102"/>
        <v>33.75</v>
      </c>
      <c r="H210" s="7">
        <f t="shared" si="102"/>
        <v>45</v>
      </c>
      <c r="I210" s="7">
        <f t="shared" si="102"/>
        <v>59.076317397470028</v>
      </c>
      <c r="J210" s="7">
        <f t="shared" si="102"/>
        <v>73.152634794940056</v>
      </c>
      <c r="K210" s="7">
        <f t="shared" si="102"/>
        <v>90.748031541777593</v>
      </c>
      <c r="L210" s="7">
        <f t="shared" si="102"/>
        <v>112.74227747532451</v>
      </c>
      <c r="M210" s="7">
        <f t="shared" si="102"/>
        <v>142.64743199906002</v>
      </c>
      <c r="N210" s="7">
        <f t="shared" si="102"/>
        <v>180.02887515372942</v>
      </c>
      <c r="O210" s="3" t="str">
        <f>[4]!FormDisp(J210)</f>
        <v>=+I210+J191</v>
      </c>
      <c r="P210" s="3"/>
      <c r="Q210" s="3"/>
      <c r="R210" s="3"/>
      <c r="S210" s="3"/>
      <c r="T210" s="3"/>
      <c r="U210" s="3"/>
    </row>
    <row r="211" spans="1:21" ht="30">
      <c r="A211" s="1">
        <f t="shared" si="51"/>
        <v>211</v>
      </c>
      <c r="B211" s="56" t="s">
        <v>427</v>
      </c>
      <c r="C211" s="4" t="s">
        <v>72</v>
      </c>
      <c r="D211" s="7">
        <f>+D209-D210</f>
        <v>45</v>
      </c>
      <c r="E211" s="7">
        <f t="shared" ref="E211:N211" si="103">+E209-E210</f>
        <v>33.75</v>
      </c>
      <c r="F211" s="7">
        <f t="shared" si="103"/>
        <v>22.5</v>
      </c>
      <c r="G211" s="7">
        <f t="shared" si="103"/>
        <v>11.25</v>
      </c>
      <c r="H211" s="7">
        <f t="shared" si="103"/>
        <v>56.305269589880112</v>
      </c>
      <c r="I211" s="7">
        <f t="shared" si="103"/>
        <v>42.228952192410084</v>
      </c>
      <c r="J211" s="7">
        <f t="shared" si="103"/>
        <v>42.228952192410091</v>
      </c>
      <c r="K211" s="7">
        <f t="shared" si="103"/>
        <v>42.228952192410091</v>
      </c>
      <c r="L211" s="7">
        <f t="shared" si="103"/>
        <v>108.1836102094977</v>
      </c>
      <c r="M211" s="7">
        <f t="shared" si="103"/>
        <v>108.18361020949772</v>
      </c>
      <c r="N211" s="7">
        <f t="shared" si="103"/>
        <v>108.18361020949772</v>
      </c>
      <c r="O211" s="3" t="str">
        <f>[4]!FormDisp(J211)</f>
        <v>=+J209-J210</v>
      </c>
      <c r="P211" s="3"/>
      <c r="Q211" s="3"/>
      <c r="R211" s="3"/>
      <c r="S211" s="3"/>
      <c r="T211" s="3"/>
      <c r="U211" s="3"/>
    </row>
    <row r="212" spans="1:21" ht="15">
      <c r="A212" s="1">
        <f t="shared" si="51"/>
        <v>212</v>
      </c>
      <c r="B212" s="54" t="s">
        <v>0</v>
      </c>
      <c r="C212" s="4"/>
      <c r="D212" s="17">
        <f t="shared" ref="D212:H212" si="104">D211+D206+D205+D204+D207</f>
        <v>78</v>
      </c>
      <c r="E212" s="17">
        <f t="shared" si="104"/>
        <v>89.274466599999982</v>
      </c>
      <c r="F212" s="17">
        <f t="shared" si="104"/>
        <v>95.08313537867781</v>
      </c>
      <c r="G212" s="17">
        <f t="shared" si="104"/>
        <v>102.38846437982723</v>
      </c>
      <c r="H212" s="17">
        <f t="shared" si="104"/>
        <v>131.4448163310831</v>
      </c>
      <c r="I212" s="17">
        <v>132.61101035637196</v>
      </c>
      <c r="J212" s="17">
        <f>J211+J206+J205+J204+J207</f>
        <v>150.72815555836485</v>
      </c>
      <c r="K212" s="17">
        <f>K211+K206+K205+K204+K207</f>
        <v>161.82762115223346</v>
      </c>
      <c r="L212" s="17">
        <f>L211+L206+L205+L204+L207</f>
        <v>193.23972720270132</v>
      </c>
      <c r="M212" s="17">
        <f>M211+M206+M205+M204+M207</f>
        <v>203.48103557859963</v>
      </c>
      <c r="N212" s="17">
        <f>N211+N206+N205+N204+N207</f>
        <v>218.18398340005641</v>
      </c>
      <c r="O212" s="3" t="e">
        <f ca="1">[4]!FormDisp(J212)</f>
        <v>#NAME?</v>
      </c>
      <c r="P212" s="3"/>
      <c r="Q212" s="3"/>
      <c r="R212" s="3"/>
      <c r="S212" s="3"/>
      <c r="T212" s="3"/>
      <c r="U212" s="3"/>
    </row>
    <row r="213" spans="1:21" ht="15">
      <c r="A213" s="1">
        <f t="shared" si="51"/>
        <v>213</v>
      </c>
      <c r="B213" s="56" t="s">
        <v>269</v>
      </c>
      <c r="C213" s="4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3" t="str">
        <f>[4]!FormDisp(J213)</f>
        <v/>
      </c>
      <c r="P213" s="3"/>
      <c r="Q213" s="3"/>
      <c r="R213" s="3"/>
      <c r="S213" s="3"/>
      <c r="T213" s="3"/>
      <c r="U213" s="3"/>
    </row>
    <row r="214" spans="1:21" ht="30">
      <c r="A214" s="1">
        <f t="shared" si="51"/>
        <v>214</v>
      </c>
      <c r="B214" s="56" t="s">
        <v>270</v>
      </c>
      <c r="C214" s="4" t="s">
        <v>72</v>
      </c>
      <c r="D214" s="7">
        <f t="shared" ref="D214:H214" si="105">D106</f>
        <v>0</v>
      </c>
      <c r="E214" s="7">
        <f t="shared" si="105"/>
        <v>27.29831249999998</v>
      </c>
      <c r="F214" s="7">
        <f t="shared" si="105"/>
        <v>31.882604772993318</v>
      </c>
      <c r="G214" s="7">
        <f t="shared" si="105"/>
        <v>38.10686485754718</v>
      </c>
      <c r="H214" s="7">
        <f t="shared" si="105"/>
        <v>23.455712778027703</v>
      </c>
      <c r="I214" s="7">
        <v>28.842835522782821</v>
      </c>
      <c r="J214" s="7">
        <f>J106</f>
        <v>37.37467807409206</v>
      </c>
      <c r="K214" s="7">
        <f>K106</f>
        <v>40.029359356650161</v>
      </c>
      <c r="L214" s="7">
        <f>L106</f>
        <v>42.700716651848268</v>
      </c>
      <c r="M214" s="7">
        <f>M106</f>
        <v>46.028925360658604</v>
      </c>
      <c r="N214" s="7">
        <f>N106</f>
        <v>49.577368862992387</v>
      </c>
      <c r="O214" s="3" t="e">
        <f ca="1">[4]!FormDisp(J214)</f>
        <v>#NAME?</v>
      </c>
      <c r="P214" s="3"/>
      <c r="Q214" s="3"/>
      <c r="R214" s="3"/>
      <c r="S214" s="3"/>
      <c r="T214" s="3"/>
      <c r="U214" s="3"/>
    </row>
    <row r="215" spans="1:21" ht="15">
      <c r="A215" s="1">
        <f t="shared" si="51"/>
        <v>215</v>
      </c>
      <c r="B215" s="56" t="s">
        <v>271</v>
      </c>
      <c r="C215" s="4" t="s">
        <v>71</v>
      </c>
      <c r="D215" s="7">
        <f>SUM($D$135:D135)-SUM($D$140:D140)</f>
        <v>33</v>
      </c>
      <c r="E215" s="7">
        <f>SUM($D$135:E135)-SUM($D$140:E140)</f>
        <v>0</v>
      </c>
      <c r="F215" s="7">
        <f>SUM($D$135:F135)-SUM($D$140:F140)</f>
        <v>0</v>
      </c>
      <c r="G215" s="7">
        <f>SUM($D$135:G135)-SUM($D$140:G140)</f>
        <v>0</v>
      </c>
      <c r="H215" s="7">
        <f>SUM($D$135:H135)-SUM($D$140:H140)</f>
        <v>0</v>
      </c>
      <c r="I215" s="7">
        <v>0</v>
      </c>
      <c r="J215" s="7">
        <f>+J174</f>
        <v>0</v>
      </c>
      <c r="K215" s="7">
        <f>SUM($D$135:K135)-SUM($D$140:K140)</f>
        <v>0</v>
      </c>
      <c r="L215" s="7">
        <f>SUM($D$135:L135)-SUM($D$140:L140)</f>
        <v>0</v>
      </c>
      <c r="M215" s="7">
        <f>SUM($D$135:M135)-SUM($D$140:M140)</f>
        <v>0</v>
      </c>
      <c r="N215" s="7">
        <f>SUM($D$135:N135)-SUM($D$140:N140)</f>
        <v>0</v>
      </c>
      <c r="O215" s="3" t="e">
        <f ca="1">[4]!FormDisp(J215)</f>
        <v>#NAME?</v>
      </c>
      <c r="P215" s="3"/>
      <c r="Q215" s="3"/>
      <c r="R215" s="3"/>
      <c r="S215" s="3"/>
      <c r="T215" s="3"/>
      <c r="U215" s="3"/>
    </row>
    <row r="216" spans="1:21" ht="15">
      <c r="A216" s="1">
        <f t="shared" si="51"/>
        <v>216</v>
      </c>
      <c r="B216" s="56" t="s">
        <v>272</v>
      </c>
      <c r="C216" s="4"/>
      <c r="D216" s="7">
        <f t="shared" ref="D216:H216" si="106">SUM(D214:D215)</f>
        <v>33</v>
      </c>
      <c r="E216" s="7">
        <f t="shared" si="106"/>
        <v>27.29831249999998</v>
      </c>
      <c r="F216" s="7">
        <f t="shared" si="106"/>
        <v>31.882604772993318</v>
      </c>
      <c r="G216" s="7">
        <f t="shared" si="106"/>
        <v>38.10686485754718</v>
      </c>
      <c r="H216" s="7">
        <f t="shared" si="106"/>
        <v>23.455712778027703</v>
      </c>
      <c r="I216" s="7">
        <v>28.842835522782821</v>
      </c>
      <c r="J216" s="7">
        <f>SUM(J214:J215)</f>
        <v>37.37467807409206</v>
      </c>
      <c r="K216" s="7">
        <f>SUM(K214:K215)</f>
        <v>40.029359356650161</v>
      </c>
      <c r="L216" s="7">
        <f>SUM(L214:L215)</f>
        <v>42.700716651848268</v>
      </c>
      <c r="M216" s="7">
        <f>SUM(M214:M215)</f>
        <v>46.028925360658604</v>
      </c>
      <c r="N216" s="7">
        <f>SUM(N214:N215)</f>
        <v>49.577368862992387</v>
      </c>
      <c r="O216" s="3" t="e">
        <f ca="1">[4]!FormDisp(J216)</f>
        <v>#NAME?</v>
      </c>
      <c r="P216" s="3"/>
      <c r="Q216" s="3"/>
      <c r="R216" s="3"/>
      <c r="S216" s="3"/>
      <c r="T216" s="3"/>
      <c r="U216" s="3"/>
    </row>
    <row r="217" spans="1:21" ht="15">
      <c r="A217" s="1">
        <f t="shared" si="51"/>
        <v>217</v>
      </c>
      <c r="B217" s="56" t="s">
        <v>273</v>
      </c>
      <c r="C217" s="4" t="s">
        <v>71</v>
      </c>
      <c r="D217" s="7">
        <f>SUM($D$134:D134)+SUM($D$136:D136)-SUM($D$138:D138)-SUM($D$142:D142)</f>
        <v>30</v>
      </c>
      <c r="E217" s="7">
        <f>SUM($D$134:E134)+SUM($D$136:E136)-SUM($D$138:E138)-SUM($D$142:E142)</f>
        <v>37.252839979999976</v>
      </c>
      <c r="F217" s="7">
        <f>SUM($D$134:F134)+SUM($D$136:F136)-SUM($D$138:F138)-SUM($D$142:F142)</f>
        <v>29.92755598199998</v>
      </c>
      <c r="G217" s="7">
        <f>SUM($D$134:G134)+SUM($D$136:G136)-SUM($D$138:G138)-SUM($D$142:G142)</f>
        <v>22.60227198399998</v>
      </c>
      <c r="H217" s="7">
        <f>SUM($D$134:H134)+SUM($D$136:H136)-SUM($D$138:H138)-SUM($D$142:H142)</f>
        <v>55.575351658527225</v>
      </c>
      <c r="I217" s="7">
        <v>44.3382102456046</v>
      </c>
      <c r="J217" s="7">
        <f>+J182+J166</f>
        <v>39.169942440537419</v>
      </c>
      <c r="K217" s="7">
        <f>SUM($D$134:K134)+SUM($D$136:K136)-SUM($D$138:K138)-SUM($D$142:K142)</f>
        <v>33.883695683140147</v>
      </c>
      <c r="L217" s="7">
        <f>SUM($D$134:L134)+SUM($D$136:L136)-SUM($D$138:L138)-SUM($D$142:L142)</f>
        <v>40.241740748923391</v>
      </c>
      <c r="M217" s="7">
        <f>SUM($D$134:M134)+SUM($D$136:M136)-SUM($D$138:M138)-SUM($D$142:M142)</f>
        <v>33.920841656771174</v>
      </c>
      <c r="N217" s="7">
        <f>SUM($D$134:N134)+SUM($D$136:N136)-SUM($D$138:N138)-SUM($D$142:N142)</f>
        <v>27.599942564618949</v>
      </c>
      <c r="O217" s="3" t="e">
        <f ca="1">[4]!FormDisp(J217)</f>
        <v>#NAME?</v>
      </c>
      <c r="P217" s="3"/>
      <c r="Q217" s="3"/>
      <c r="R217" s="3"/>
      <c r="S217" s="3"/>
      <c r="T217" s="3"/>
      <c r="U217" s="3"/>
    </row>
    <row r="218" spans="1:21" ht="15">
      <c r="A218" s="1">
        <f t="shared" si="51"/>
        <v>218</v>
      </c>
      <c r="B218" s="56" t="s">
        <v>274</v>
      </c>
      <c r="C218" s="4"/>
      <c r="D218" s="7">
        <f>++D217+D216</f>
        <v>63</v>
      </c>
      <c r="E218" s="7">
        <f t="shared" ref="E218:N218" si="107">+E217+E216</f>
        <v>64.551152479999956</v>
      </c>
      <c r="F218" s="7">
        <f t="shared" si="107"/>
        <v>61.810160754993298</v>
      </c>
      <c r="G218" s="7">
        <f t="shared" si="107"/>
        <v>60.709136841547163</v>
      </c>
      <c r="H218" s="7">
        <f t="shared" si="107"/>
        <v>79.031064436554928</v>
      </c>
      <c r="I218" s="7">
        <v>73.18104576838742</v>
      </c>
      <c r="J218" s="7">
        <f t="shared" si="107"/>
        <v>76.544620514629486</v>
      </c>
      <c r="K218" s="7">
        <f t="shared" si="107"/>
        <v>73.913055039790308</v>
      </c>
      <c r="L218" s="7">
        <f t="shared" si="107"/>
        <v>82.942457400771659</v>
      </c>
      <c r="M218" s="7">
        <f t="shared" si="107"/>
        <v>79.949767017429778</v>
      </c>
      <c r="N218" s="7">
        <f t="shared" si="107"/>
        <v>77.177311427611329</v>
      </c>
      <c r="O218" s="3" t="e">
        <f ca="1">[4]!FormDisp(J218)</f>
        <v>#NAME?</v>
      </c>
      <c r="P218" s="3"/>
      <c r="Q218" s="3"/>
      <c r="R218" s="3"/>
      <c r="S218" s="3"/>
      <c r="T218" s="3"/>
      <c r="U218" s="3"/>
    </row>
    <row r="219" spans="1:21" ht="15">
      <c r="A219" s="1">
        <f t="shared" si="51"/>
        <v>219</v>
      </c>
      <c r="B219" s="56" t="s">
        <v>275</v>
      </c>
      <c r="C219" s="4" t="s">
        <v>73</v>
      </c>
      <c r="D219" s="7">
        <f>+D7</f>
        <v>15</v>
      </c>
      <c r="E219" s="7">
        <f t="shared" ref="E219:N219" si="108">+D219+E146</f>
        <v>15</v>
      </c>
      <c r="F219" s="7">
        <f t="shared" si="108"/>
        <v>15</v>
      </c>
      <c r="G219" s="7">
        <f t="shared" si="108"/>
        <v>15</v>
      </c>
      <c r="H219" s="7">
        <f t="shared" si="108"/>
        <v>15</v>
      </c>
      <c r="I219" s="7">
        <v>15</v>
      </c>
      <c r="J219" s="7">
        <f t="shared" si="108"/>
        <v>15</v>
      </c>
      <c r="K219" s="7">
        <f t="shared" si="108"/>
        <v>15</v>
      </c>
      <c r="L219" s="7">
        <f t="shared" si="108"/>
        <v>22.684208580566942</v>
      </c>
      <c r="M219" s="7">
        <f t="shared" si="108"/>
        <v>22.684208580566942</v>
      </c>
      <c r="N219" s="7">
        <f t="shared" si="108"/>
        <v>22.684208580566942</v>
      </c>
      <c r="O219" s="3" t="e">
        <f ca="1">[4]!FormDisp(J219)</f>
        <v>#NAME?</v>
      </c>
      <c r="P219" s="3"/>
      <c r="Q219" s="3"/>
      <c r="R219" s="3"/>
      <c r="S219" s="3"/>
      <c r="T219" s="3"/>
      <c r="U219" s="3"/>
    </row>
    <row r="220" spans="1:21" ht="15">
      <c r="A220" s="1">
        <f t="shared" si="51"/>
        <v>220</v>
      </c>
      <c r="B220" s="56" t="s">
        <v>276</v>
      </c>
      <c r="C220" s="4" t="s">
        <v>74</v>
      </c>
      <c r="D220" s="7">
        <f t="shared" ref="D220:H220" si="109">D199</f>
        <v>0</v>
      </c>
      <c r="E220" s="7">
        <f t="shared" si="109"/>
        <v>0</v>
      </c>
      <c r="F220" s="7">
        <f t="shared" si="109"/>
        <v>2.722527953600018</v>
      </c>
      <c r="G220" s="7">
        <f t="shared" si="109"/>
        <v>6.9211485545228246</v>
      </c>
      <c r="H220" s="7">
        <f t="shared" si="109"/>
        <v>11.465529720786988</v>
      </c>
      <c r="I220" s="7">
        <v>20.503712775562001</v>
      </c>
      <c r="J220" s="7">
        <f>J199</f>
        <v>27.262878912571377</v>
      </c>
      <c r="K220" s="7">
        <f>K199</f>
        <v>36.319733506369801</v>
      </c>
      <c r="L220" s="7">
        <f>L199</f>
        <v>46.661795833328227</v>
      </c>
      <c r="M220" s="7">
        <f>M199</f>
        <v>58.232716451135886</v>
      </c>
      <c r="N220" s="7">
        <f>N199</f>
        <v>70.272756521650763</v>
      </c>
      <c r="O220" s="3" t="str">
        <f>[4]!FormDisp(J220)</f>
        <v>=J199</v>
      </c>
      <c r="P220" s="3"/>
      <c r="Q220" s="3"/>
      <c r="R220" s="3"/>
      <c r="S220" s="3"/>
      <c r="T220" s="3"/>
      <c r="U220" s="3"/>
    </row>
    <row r="221" spans="1:21" ht="15">
      <c r="A221" s="1">
        <f t="shared" si="51"/>
        <v>221</v>
      </c>
      <c r="B221" s="54" t="s">
        <v>428</v>
      </c>
      <c r="C221" s="4"/>
      <c r="D221" s="7"/>
      <c r="E221" s="7">
        <f>+E197</f>
        <v>9.7233141200000635</v>
      </c>
      <c r="F221" s="7">
        <f t="shared" ref="F221:N221" si="110">+F197</f>
        <v>15.550446670084463</v>
      </c>
      <c r="G221" s="7">
        <f t="shared" si="110"/>
        <v>19.758178983757222</v>
      </c>
      <c r="H221" s="7">
        <f t="shared" si="110"/>
        <v>25.94822217374125</v>
      </c>
      <c r="I221" s="7">
        <v>23.926251812422564</v>
      </c>
      <c r="J221" s="7">
        <f t="shared" si="110"/>
        <v>32.10750869134958</v>
      </c>
      <c r="K221" s="7">
        <f t="shared" si="110"/>
        <v>36.663706213928805</v>
      </c>
      <c r="L221" s="7">
        <f t="shared" si="110"/>
        <v>41.020138995889951</v>
      </c>
      <c r="M221" s="7">
        <f t="shared" si="110"/>
        <v>42.683217137322373</v>
      </c>
      <c r="N221" s="7">
        <f t="shared" si="110"/>
        <v>48.118580478082649</v>
      </c>
      <c r="O221" s="3" t="e">
        <f ca="1">[4]!FormDisp(J221)</f>
        <v>#NAME?</v>
      </c>
      <c r="P221" s="3"/>
      <c r="Q221" s="3"/>
      <c r="R221" s="3"/>
      <c r="S221" s="3"/>
      <c r="T221" s="3"/>
      <c r="U221" s="3"/>
    </row>
    <row r="222" spans="1:21" ht="15">
      <c r="A222" s="1">
        <f t="shared" si="51"/>
        <v>222</v>
      </c>
      <c r="B222" s="56" t="s">
        <v>221</v>
      </c>
      <c r="C222" s="4"/>
      <c r="D222" s="7"/>
      <c r="E222" s="7">
        <f>-E148</f>
        <v>0</v>
      </c>
      <c r="F222" s="7">
        <f t="shared" ref="F222:N222" si="111">+E222-F148</f>
        <v>0</v>
      </c>
      <c r="G222" s="7">
        <f t="shared" si="111"/>
        <v>0</v>
      </c>
      <c r="H222" s="7">
        <f t="shared" si="111"/>
        <v>0</v>
      </c>
      <c r="I222" s="7">
        <v>0</v>
      </c>
      <c r="J222" s="7">
        <f t="shared" si="111"/>
        <v>0</v>
      </c>
      <c r="K222" s="7">
        <f t="shared" si="111"/>
        <v>0</v>
      </c>
      <c r="L222" s="7">
        <f t="shared" si="111"/>
        <v>0</v>
      </c>
      <c r="M222" s="7">
        <f t="shared" si="111"/>
        <v>0</v>
      </c>
      <c r="N222" s="7">
        <f t="shared" si="111"/>
        <v>0</v>
      </c>
      <c r="O222" s="3" t="str">
        <f>[4]!FormDisp(J222)</f>
        <v>=+I222-J148</v>
      </c>
      <c r="P222" s="3"/>
      <c r="Q222" s="3"/>
      <c r="R222" s="3"/>
      <c r="S222" s="3"/>
      <c r="T222" s="3"/>
      <c r="U222" s="3"/>
    </row>
    <row r="223" spans="1:21" ht="30">
      <c r="A223" s="1">
        <f t="shared" si="51"/>
        <v>223</v>
      </c>
      <c r="B223" s="56" t="s">
        <v>277</v>
      </c>
      <c r="C223" s="4"/>
      <c r="D223" s="17">
        <f t="shared" ref="D223:H223" si="112">SUM(D214:D222)-D218-D216</f>
        <v>78</v>
      </c>
      <c r="E223" s="17">
        <f t="shared" si="112"/>
        <v>89.274466600000011</v>
      </c>
      <c r="F223" s="17">
        <f t="shared" si="112"/>
        <v>95.083135378677753</v>
      </c>
      <c r="G223" s="17">
        <f t="shared" si="112"/>
        <v>102.38846437982721</v>
      </c>
      <c r="H223" s="17">
        <f t="shared" si="112"/>
        <v>131.44481633108313</v>
      </c>
      <c r="I223" s="17">
        <v>132.61101035637199</v>
      </c>
      <c r="J223" s="17">
        <f>SUM(J214:J222)-J218-J216</f>
        <v>150.91500811855045</v>
      </c>
      <c r="K223" s="17">
        <f>SUM(K214:K222)-K218-K216</f>
        <v>161.8964947600889</v>
      </c>
      <c r="L223" s="17">
        <f>SUM(L214:L222)-L218-L216</f>
        <v>193.30860081055681</v>
      </c>
      <c r="M223" s="17">
        <f>SUM(M214:M222)-M218-M216</f>
        <v>203.54990918645495</v>
      </c>
      <c r="N223" s="17">
        <f>SUM(N214:N222)-N218-N216</f>
        <v>218.2528570079117</v>
      </c>
      <c r="O223" s="3" t="e">
        <f ca="1">[4]!FormDisp(J223)</f>
        <v>#NAME?</v>
      </c>
      <c r="P223" s="30"/>
      <c r="Q223" s="3"/>
      <c r="R223" s="3"/>
      <c r="S223" s="3"/>
      <c r="T223" s="3"/>
      <c r="U223" s="3"/>
    </row>
    <row r="224" spans="1:21" ht="15">
      <c r="A224" s="1">
        <f t="shared" si="51"/>
        <v>224</v>
      </c>
      <c r="B224" s="57" t="s">
        <v>75</v>
      </c>
      <c r="C224" s="4"/>
      <c r="D224" s="132">
        <f t="shared" ref="D224:H224" si="113">D223-D212</f>
        <v>0</v>
      </c>
      <c r="E224" s="132">
        <f t="shared" si="113"/>
        <v>0</v>
      </c>
      <c r="F224" s="132">
        <f t="shared" si="113"/>
        <v>0</v>
      </c>
      <c r="G224" s="132">
        <f t="shared" si="113"/>
        <v>0</v>
      </c>
      <c r="H224" s="132">
        <f t="shared" si="113"/>
        <v>0</v>
      </c>
      <c r="I224" s="132">
        <v>0</v>
      </c>
      <c r="J224" s="132">
        <f>J223-J212</f>
        <v>0.18685256018559926</v>
      </c>
      <c r="K224" s="132">
        <f>K223-K212</f>
        <v>6.8873607855437058E-2</v>
      </c>
      <c r="L224" s="132">
        <f>L223-L212</f>
        <v>6.8873607855493901E-2</v>
      </c>
      <c r="M224" s="132">
        <f>M223-M212</f>
        <v>6.8873607855323371E-2</v>
      </c>
      <c r="N224" s="132">
        <f>N223-N212</f>
        <v>6.8873607855294949E-2</v>
      </c>
      <c r="O224" s="3" t="e">
        <f ca="1">[4]!FormDisp(J224)</f>
        <v>#NAME?</v>
      </c>
      <c r="P224" s="30"/>
      <c r="Q224" s="3"/>
      <c r="R224" s="3"/>
      <c r="S224" s="3"/>
      <c r="T224" s="3"/>
      <c r="U224" s="3"/>
    </row>
    <row r="225" spans="1:24" ht="15">
      <c r="A225" s="1">
        <f t="shared" si="51"/>
        <v>225</v>
      </c>
      <c r="B225" s="79"/>
      <c r="C225" s="4"/>
      <c r="D225" s="7">
        <f>+D209-D210</f>
        <v>45</v>
      </c>
      <c r="E225" s="7">
        <f t="shared" ref="E225:N225" si="114">+E209-E210</f>
        <v>33.75</v>
      </c>
      <c r="F225" s="7">
        <f t="shared" si="114"/>
        <v>22.5</v>
      </c>
      <c r="G225" s="7">
        <f t="shared" si="114"/>
        <v>11.25</v>
      </c>
      <c r="H225" s="7">
        <f t="shared" si="114"/>
        <v>56.305269589880112</v>
      </c>
      <c r="I225" s="7">
        <f t="shared" si="114"/>
        <v>42.228952192410084</v>
      </c>
      <c r="J225" s="7">
        <f t="shared" si="114"/>
        <v>42.228952192410091</v>
      </c>
      <c r="K225" s="7">
        <f t="shared" si="114"/>
        <v>42.228952192410091</v>
      </c>
      <c r="L225" s="7">
        <f t="shared" si="114"/>
        <v>108.1836102094977</v>
      </c>
      <c r="M225" s="7">
        <f t="shared" si="114"/>
        <v>108.18361020949772</v>
      </c>
      <c r="N225" s="7">
        <f t="shared" si="114"/>
        <v>108.18361020949772</v>
      </c>
      <c r="O225" s="3"/>
      <c r="P225" s="30"/>
      <c r="Q225" s="30"/>
      <c r="R225" s="30"/>
      <c r="S225" s="30"/>
      <c r="T225" s="3"/>
      <c r="U225" s="3"/>
      <c r="V225" s="3"/>
      <c r="W225" s="3"/>
      <c r="X225" s="3"/>
    </row>
    <row r="226" spans="1:24" ht="39">
      <c r="A226" s="1">
        <f t="shared" ref="A226:A239" si="115">ROW(B226)</f>
        <v>226</v>
      </c>
      <c r="B226" s="76"/>
      <c r="D226" s="37" t="s">
        <v>281</v>
      </c>
      <c r="E226" s="60">
        <f t="shared" ref="E226:N226" si="116">+E211-D211+E191</f>
        <v>0</v>
      </c>
      <c r="F226" s="60">
        <f t="shared" si="116"/>
        <v>0</v>
      </c>
      <c r="G226" s="60">
        <f t="shared" si="116"/>
        <v>0</v>
      </c>
      <c r="H226" s="60">
        <f t="shared" si="116"/>
        <v>56.305269589880112</v>
      </c>
      <c r="I226" s="60">
        <f t="shared" si="116"/>
        <v>0</v>
      </c>
      <c r="J226" s="60">
        <f t="shared" si="116"/>
        <v>14.076317397470037</v>
      </c>
      <c r="K226" s="60">
        <f t="shared" si="116"/>
        <v>17.595396746837537</v>
      </c>
      <c r="L226" s="60">
        <f t="shared" si="116"/>
        <v>87.948903950634531</v>
      </c>
      <c r="M226" s="60">
        <f t="shared" si="116"/>
        <v>29.905154523735533</v>
      </c>
      <c r="N226" s="60">
        <f t="shared" si="116"/>
        <v>37.381443154669398</v>
      </c>
    </row>
    <row r="227" spans="1:24" ht="15">
      <c r="A227" s="1">
        <f t="shared" si="115"/>
        <v>227</v>
      </c>
      <c r="B227" s="76"/>
      <c r="D227" s="114" t="s">
        <v>280</v>
      </c>
      <c r="E227" s="60">
        <f>+E206-D206+E187</f>
        <v>272.98312499999997</v>
      </c>
      <c r="F227" s="60">
        <f>+F206-E206+F187</f>
        <v>289.8418615726668</v>
      </c>
      <c r="G227" s="60">
        <f>+G206-F206+G187</f>
        <v>317.55720714622652</v>
      </c>
      <c r="H227" s="60">
        <f>+H206-G206+H187</f>
        <v>335.0816111146811</v>
      </c>
      <c r="I227" s="60">
        <f>+I206-H206+I187</f>
        <v>360.53544403478577</v>
      </c>
      <c r="L227" s="25"/>
      <c r="M227" s="25"/>
    </row>
    <row r="228" spans="1:24" ht="26.25">
      <c r="A228" s="1">
        <f t="shared" si="115"/>
        <v>228</v>
      </c>
      <c r="B228" s="76"/>
      <c r="D228" s="37" t="s">
        <v>282</v>
      </c>
      <c r="E228" s="60"/>
      <c r="F228" s="60"/>
      <c r="G228" s="60"/>
      <c r="I228" s="60"/>
      <c r="J228" s="60"/>
      <c r="K228" s="60"/>
      <c r="L228" s="60"/>
      <c r="M228" s="60"/>
      <c r="N228" s="60"/>
    </row>
    <row r="229" spans="1:24" ht="15">
      <c r="A229" s="1">
        <f t="shared" si="115"/>
        <v>229</v>
      </c>
      <c r="B229" s="76"/>
      <c r="D229" s="37"/>
      <c r="E229" s="60"/>
      <c r="F229" s="60"/>
      <c r="G229" s="60"/>
      <c r="L229" s="25"/>
      <c r="M229" s="25"/>
    </row>
    <row r="230" spans="1:24" ht="15">
      <c r="A230" s="1">
        <f t="shared" si="115"/>
        <v>230</v>
      </c>
      <c r="B230" s="76" t="s">
        <v>337</v>
      </c>
      <c r="D230" s="37"/>
      <c r="E230" s="60"/>
      <c r="F230" s="60">
        <f>+E217-F217</f>
        <v>7.3252839979999962</v>
      </c>
      <c r="G230" s="60">
        <f>+F217-G217</f>
        <v>7.3252839979999997</v>
      </c>
      <c r="H230" s="60">
        <f>+G217-H217</f>
        <v>-32.973079674527241</v>
      </c>
      <c r="I230" s="60">
        <f>+H217-I217</f>
        <v>11.237141412922625</v>
      </c>
      <c r="L230" s="25"/>
      <c r="M230" s="25"/>
    </row>
    <row r="231" spans="1:24" ht="15">
      <c r="A231" s="1">
        <f t="shared" si="115"/>
        <v>231</v>
      </c>
      <c r="B231" s="76"/>
      <c r="D231" s="37"/>
      <c r="E231" s="60"/>
      <c r="F231" s="60"/>
      <c r="G231" s="60"/>
      <c r="L231" s="25"/>
      <c r="M231" s="25"/>
    </row>
    <row r="232" spans="1:24" ht="15">
      <c r="A232" s="1">
        <f t="shared" si="115"/>
        <v>232</v>
      </c>
      <c r="B232" s="76"/>
      <c r="J232" s="60"/>
      <c r="L232" s="25"/>
      <c r="M232" s="25"/>
    </row>
    <row r="233" spans="1:24" ht="15">
      <c r="A233" s="1">
        <f t="shared" si="115"/>
        <v>233</v>
      </c>
      <c r="B233" s="76"/>
      <c r="E233" s="117">
        <f>+F261/E197</f>
        <v>0.72</v>
      </c>
      <c r="F233" s="117">
        <f>+G261/F197</f>
        <v>0.72999999999999987</v>
      </c>
      <c r="G233" s="117">
        <f>+H261/G197</f>
        <v>0.76999999999999991</v>
      </c>
      <c r="H233" s="117">
        <f>+I261/H197</f>
        <v>0.65168391906550904</v>
      </c>
      <c r="I233" s="117"/>
      <c r="K233" s="118" t="s">
        <v>284</v>
      </c>
      <c r="L233" s="75"/>
      <c r="M233" s="25"/>
    </row>
    <row r="234" spans="1:24" ht="15">
      <c r="A234" s="1">
        <f t="shared" si="115"/>
        <v>234</v>
      </c>
      <c r="B234" s="76"/>
      <c r="L234" s="25"/>
      <c r="M234" s="25"/>
    </row>
    <row r="235" spans="1:24" ht="15">
      <c r="A235" s="1">
        <f t="shared" si="115"/>
        <v>235</v>
      </c>
      <c r="B235" s="76"/>
      <c r="D235" s="119" t="s">
        <v>285</v>
      </c>
      <c r="E235" s="120">
        <f>+E198</f>
        <v>7.0007861664000455</v>
      </c>
      <c r="F235" s="120">
        <f>+F198</f>
        <v>11.351826069161659</v>
      </c>
      <c r="G235" s="120">
        <f>+G198</f>
        <v>15.213797817493061</v>
      </c>
      <c r="H235" s="120">
        <f>+H198</f>
        <v>16.866344412931813</v>
      </c>
      <c r="I235" s="120">
        <f>+I198</f>
        <v>17.167085675413187</v>
      </c>
      <c r="J235" s="59"/>
      <c r="K235" s="59"/>
      <c r="L235" s="25"/>
      <c r="M235" s="25"/>
    </row>
    <row r="236" spans="1:24" ht="15">
      <c r="A236" s="1">
        <f t="shared" si="115"/>
        <v>236</v>
      </c>
      <c r="B236" s="76"/>
      <c r="D236" s="59"/>
      <c r="E236" s="61"/>
      <c r="F236" s="61"/>
      <c r="G236" s="61"/>
      <c r="H236" s="61"/>
      <c r="I236" s="61"/>
      <c r="J236" s="61"/>
      <c r="K236" s="61"/>
      <c r="L236" s="25"/>
      <c r="M236" s="25"/>
    </row>
    <row r="237" spans="1:24" ht="12.75">
      <c r="A237" s="1">
        <f t="shared" si="115"/>
        <v>237</v>
      </c>
      <c r="I237" s="60"/>
    </row>
    <row r="238" spans="1:24" ht="12.75">
      <c r="A238" s="1">
        <f t="shared" si="115"/>
        <v>238</v>
      </c>
      <c r="C238" t="str">
        <f>+C2</f>
        <v>Year</v>
      </c>
      <c r="D238">
        <f t="shared" ref="D238:I238" si="117">+D2</f>
        <v>0</v>
      </c>
      <c r="E238">
        <f t="shared" si="117"/>
        <v>1</v>
      </c>
      <c r="F238">
        <f t="shared" si="117"/>
        <v>2</v>
      </c>
      <c r="G238">
        <f t="shared" si="117"/>
        <v>3</v>
      </c>
      <c r="H238">
        <f t="shared" si="117"/>
        <v>4</v>
      </c>
      <c r="I238">
        <f t="shared" si="117"/>
        <v>5</v>
      </c>
      <c r="J238">
        <f>+J2</f>
        <v>6</v>
      </c>
      <c r="K238">
        <f>+K2</f>
        <v>7</v>
      </c>
      <c r="L238">
        <f>+L2</f>
        <v>8</v>
      </c>
      <c r="M238">
        <f>+M2</f>
        <v>9</v>
      </c>
      <c r="N238">
        <f>+N2</f>
        <v>10</v>
      </c>
    </row>
    <row r="239" spans="1:24" ht="12.75">
      <c r="A239" s="1">
        <f t="shared" si="115"/>
        <v>239</v>
      </c>
      <c r="B239" s="121" t="s">
        <v>286</v>
      </c>
      <c r="E239" s="116"/>
      <c r="F239" s="116"/>
      <c r="G239" s="116"/>
      <c r="H239" s="116"/>
      <c r="I239" s="116"/>
    </row>
    <row r="240" spans="1:24">
      <c r="B240" s="121" t="s">
        <v>287</v>
      </c>
      <c r="E240" s="116">
        <f>+E18</f>
        <v>0.06</v>
      </c>
      <c r="F240" s="116">
        <f>+F18</f>
        <v>5.5E-2</v>
      </c>
      <c r="G240" s="116">
        <f>+G18</f>
        <v>5.5E-2</v>
      </c>
      <c r="H240" s="116">
        <f>+H18</f>
        <v>0.05</v>
      </c>
      <c r="I240" s="116">
        <f>+I18</f>
        <v>4.4999999999999998E-2</v>
      </c>
    </row>
    <row r="241" spans="2:13">
      <c r="B241" s="121" t="s">
        <v>157</v>
      </c>
      <c r="E241" s="122">
        <f>+E28</f>
        <v>9.1800000000000104E-2</v>
      </c>
      <c r="F241" s="122">
        <f>+F28</f>
        <v>8.6649999999999894E-2</v>
      </c>
      <c r="G241" s="122">
        <f>+G28</f>
        <v>8.6649999999999894E-2</v>
      </c>
      <c r="H241" s="122">
        <f>+H28</f>
        <v>8.1500000000000128E-2</v>
      </c>
      <c r="I241" s="122">
        <f>+I28</f>
        <v>7.6349999999999918E-2</v>
      </c>
      <c r="M241">
        <f>27900+129000</f>
        <v>156900</v>
      </c>
    </row>
    <row r="242" spans="2:13">
      <c r="B242" s="121" t="s">
        <v>288</v>
      </c>
      <c r="E242" s="60">
        <f t="shared" ref="E242:I243" si="118">+E54</f>
        <v>51</v>
      </c>
      <c r="F242" s="60">
        <f t="shared" si="118"/>
        <v>51.408000000000001</v>
      </c>
      <c r="G242" s="60">
        <f t="shared" si="118"/>
        <v>52.281935999999995</v>
      </c>
      <c r="H242" s="60">
        <f t="shared" si="118"/>
        <v>53.066165039999987</v>
      </c>
      <c r="I242" s="60">
        <f t="shared" si="118"/>
        <v>54.180554505839979</v>
      </c>
      <c r="M242">
        <f>+M241*1.004</f>
        <v>157527.6</v>
      </c>
    </row>
    <row r="243" spans="2:13">
      <c r="B243" s="121" t="s">
        <v>289</v>
      </c>
      <c r="D243" s="60">
        <f>+D55</f>
        <v>7</v>
      </c>
      <c r="E243" s="60">
        <f t="shared" si="118"/>
        <v>7.4793600000000007</v>
      </c>
      <c r="F243" s="60">
        <f t="shared" si="118"/>
        <v>7.9775227727999996</v>
      </c>
      <c r="G243" s="60">
        <f t="shared" si="118"/>
        <v>8.5004493905570389</v>
      </c>
      <c r="H243" s="60">
        <f t="shared" si="118"/>
        <v>9.0325775224059086</v>
      </c>
      <c r="I243" s="60">
        <f t="shared" si="118"/>
        <v>9.5145558590014865</v>
      </c>
    </row>
    <row r="244" spans="2:13">
      <c r="B244" s="121" t="s">
        <v>290</v>
      </c>
      <c r="D244" s="123">
        <f t="shared" ref="D244:I244" si="119">+D85</f>
        <v>5</v>
      </c>
      <c r="E244" s="123">
        <f t="shared" si="119"/>
        <v>5.3264999999999993</v>
      </c>
      <c r="F244" s="123">
        <f t="shared" si="119"/>
        <v>5.6531742449999989</v>
      </c>
      <c r="G244" s="123">
        <f t="shared" si="119"/>
        <v>6.0058475202743233</v>
      </c>
      <c r="H244" s="123">
        <f t="shared" si="119"/>
        <v>6.3376705957694801</v>
      </c>
      <c r="I244" s="123">
        <f t="shared" si="119"/>
        <v>6.6493572356694228</v>
      </c>
    </row>
    <row r="245" spans="2:13">
      <c r="B245" s="121"/>
      <c r="D245" s="123"/>
      <c r="E245" s="123"/>
      <c r="F245" s="123"/>
      <c r="G245" s="123"/>
      <c r="H245" s="123"/>
      <c r="I245" s="123"/>
    </row>
    <row r="246" spans="2:13">
      <c r="B246" s="121" t="s">
        <v>318</v>
      </c>
      <c r="E246" s="60">
        <f>+E204</f>
        <v>0</v>
      </c>
      <c r="F246" s="60">
        <f>+F35</f>
        <v>11</v>
      </c>
      <c r="G246" s="60">
        <f>+G204</f>
        <v>12</v>
      </c>
      <c r="H246" s="60">
        <f>+H204</f>
        <v>13</v>
      </c>
      <c r="I246" s="60">
        <f>+I204</f>
        <v>14.000000000000014</v>
      </c>
    </row>
    <row r="247" spans="2:13" ht="12.75">
      <c r="B247" s="121" t="s">
        <v>317</v>
      </c>
      <c r="E247" s="18">
        <f>+E246/E248</f>
        <v>0</v>
      </c>
      <c r="F247" s="18">
        <f>+F246/F248</f>
        <v>2.6822170838537007E-2</v>
      </c>
      <c r="G247" s="18">
        <f>+G246/G248</f>
        <v>2.7001488058250454E-2</v>
      </c>
      <c r="H247" s="18">
        <f>+H246/H248</f>
        <v>2.712151536764518E-2</v>
      </c>
      <c r="I247" s="18">
        <f>+I246/I248</f>
        <v>2.7157892821922325E-2</v>
      </c>
      <c r="J247" s="122">
        <f>AVERAGE(E247:I247)</f>
        <v>2.1620613417270992E-2</v>
      </c>
    </row>
    <row r="248" spans="2:13">
      <c r="B248" s="133" t="s">
        <v>64</v>
      </c>
      <c r="E248" s="60">
        <f t="shared" ref="E248:I249" si="120">+E186</f>
        <v>381.44736000000006</v>
      </c>
      <c r="F248" s="60">
        <f t="shared" si="120"/>
        <v>410.10849070410239</v>
      </c>
      <c r="G248" s="60">
        <f t="shared" si="120"/>
        <v>444.41995100834208</v>
      </c>
      <c r="H248" s="60">
        <f t="shared" si="120"/>
        <v>479.32424954058615</v>
      </c>
      <c r="I248" s="60">
        <f t="shared" si="120"/>
        <v>515.50391231748915</v>
      </c>
    </row>
    <row r="249" spans="2:13" ht="12.75">
      <c r="B249" s="180" t="s">
        <v>37</v>
      </c>
      <c r="E249" s="30">
        <f t="shared" si="120"/>
        <v>270.34549999999996</v>
      </c>
      <c r="F249" s="30">
        <f t="shared" si="120"/>
        <v>289.23001604570999</v>
      </c>
      <c r="G249" s="30">
        <f t="shared" si="120"/>
        <v>312.54691746191662</v>
      </c>
      <c r="H249" s="30">
        <f t="shared" si="120"/>
        <v>334.7545220525858</v>
      </c>
      <c r="I249" s="30">
        <f t="shared" si="120"/>
        <v>358.85996088872469</v>
      </c>
      <c r="J249" s="122"/>
    </row>
    <row r="250" spans="2:13">
      <c r="B250" s="133" t="s">
        <v>343</v>
      </c>
      <c r="E250" s="60">
        <f>+E206</f>
        <v>22.637624999999989</v>
      </c>
      <c r="F250" s="60">
        <f>+F206</f>
        <v>23.249470526956795</v>
      </c>
      <c r="G250" s="60">
        <f>+G206</f>
        <v>28.259760211266673</v>
      </c>
      <c r="H250" s="60">
        <f>+H206</f>
        <v>28.58684927336196</v>
      </c>
      <c r="I250" s="60">
        <f>+I206</f>
        <v>30.262332419423046</v>
      </c>
    </row>
    <row r="251" spans="2:13">
      <c r="B251" s="133" t="s">
        <v>440</v>
      </c>
      <c r="E251" s="124">
        <f>+E250/E249</f>
        <v>8.3735904610951511E-2</v>
      </c>
      <c r="F251" s="124">
        <f>+F250/F249</f>
        <v>8.0384017000788885E-2</v>
      </c>
      <c r="G251" s="124">
        <f>+G250/G249</f>
        <v>9.0417657741609578E-2</v>
      </c>
      <c r="H251" s="124">
        <f>+H250/H249</f>
        <v>8.539645438716828E-2</v>
      </c>
      <c r="I251" s="124">
        <f>+I250/I249</f>
        <v>8.4329085765036879E-2</v>
      </c>
      <c r="J251" s="122">
        <f>AVERAGE(E251:I251)</f>
        <v>8.4852623901111021E-2</v>
      </c>
    </row>
    <row r="252" spans="2:13">
      <c r="B252" s="121" t="s">
        <v>434</v>
      </c>
      <c r="E252" s="179">
        <f>+E205</f>
        <v>22.886841600000004</v>
      </c>
      <c r="F252" s="179">
        <f>+F205</f>
        <v>24.606509442246143</v>
      </c>
      <c r="G252" s="179">
        <f>+G205</f>
        <v>17.776798040333684</v>
      </c>
      <c r="H252" s="179">
        <f>+H205</f>
        <v>33.552697467841035</v>
      </c>
      <c r="I252" s="179">
        <f>+I205</f>
        <v>15.465117369524673</v>
      </c>
    </row>
    <row r="253" spans="2:13" ht="12.75">
      <c r="B253" s="133" t="s">
        <v>328</v>
      </c>
      <c r="E253" s="18">
        <f>+E252/E248</f>
        <v>0.06</v>
      </c>
      <c r="F253" s="18">
        <f>+F252/F248</f>
        <v>0.06</v>
      </c>
      <c r="G253" s="18">
        <f>+G252/G248</f>
        <v>0.04</v>
      </c>
      <c r="H253" s="18">
        <f>+H252/H248</f>
        <v>7.0000000000000007E-2</v>
      </c>
      <c r="I253" s="18">
        <f>+I252/I248</f>
        <v>0.03</v>
      </c>
      <c r="J253" s="122">
        <f>AVERAGE(E253:I253)</f>
        <v>5.2000000000000005E-2</v>
      </c>
    </row>
    <row r="254" spans="2:13" ht="12.75">
      <c r="B254" s="180" t="s">
        <v>435</v>
      </c>
      <c r="E254" s="30">
        <f>+E206</f>
        <v>22.637624999999989</v>
      </c>
      <c r="F254" s="30">
        <f>+F206</f>
        <v>23.249470526956795</v>
      </c>
      <c r="G254" s="30">
        <f>+G206</f>
        <v>28.259760211266673</v>
      </c>
      <c r="H254" s="30">
        <f>+H206</f>
        <v>28.58684927336196</v>
      </c>
      <c r="I254" s="30">
        <f>+I206</f>
        <v>30.262332419423046</v>
      </c>
      <c r="J254" s="122"/>
    </row>
    <row r="255" spans="2:13" ht="12.75">
      <c r="B255" s="180" t="s">
        <v>436</v>
      </c>
      <c r="E255" s="30">
        <f>+D206</f>
        <v>20</v>
      </c>
      <c r="F255" s="30">
        <f>+E206</f>
        <v>22.637624999999989</v>
      </c>
      <c r="G255" s="30">
        <f>+F206</f>
        <v>23.249470526956795</v>
      </c>
      <c r="H255" s="30">
        <f>+G206</f>
        <v>28.259760211266673</v>
      </c>
      <c r="I255" s="30">
        <f>+H206</f>
        <v>28.58684927336196</v>
      </c>
      <c r="J255" s="122"/>
    </row>
    <row r="256" spans="2:13">
      <c r="B256" s="133" t="s">
        <v>332</v>
      </c>
      <c r="E256" s="127">
        <f>+E206-D206+E187</f>
        <v>272.98312499999997</v>
      </c>
      <c r="F256" s="127">
        <f>+F206-E206+F187</f>
        <v>289.8418615726668</v>
      </c>
      <c r="G256" s="127">
        <f>+G206-F206+G187</f>
        <v>317.55720714622652</v>
      </c>
      <c r="H256" s="127">
        <f>+H206-G206+H187</f>
        <v>335.0816111146811</v>
      </c>
      <c r="I256" s="127">
        <f>+I206-H206+I187</f>
        <v>360.53544403478577</v>
      </c>
      <c r="J256" s="122"/>
      <c r="K256" s="114" t="s">
        <v>330</v>
      </c>
      <c r="M256" s="114" t="s">
        <v>331</v>
      </c>
    </row>
    <row r="257" spans="2:18">
      <c r="B257" s="133" t="s">
        <v>437</v>
      </c>
      <c r="E257" s="127">
        <f>+E214</f>
        <v>27.29831249999998</v>
      </c>
      <c r="F257" s="127">
        <f>+F214</f>
        <v>31.882604772993318</v>
      </c>
      <c r="G257" s="127">
        <f>+G214</f>
        <v>38.10686485754718</v>
      </c>
      <c r="H257" s="127">
        <f>+H214</f>
        <v>23.455712778027703</v>
      </c>
      <c r="I257" s="127">
        <f>+I214</f>
        <v>28.842835522782821</v>
      </c>
      <c r="J257" s="122"/>
      <c r="K257" s="114"/>
      <c r="M257" s="114"/>
    </row>
    <row r="258" spans="2:18" ht="12.75">
      <c r="B258" s="133" t="s">
        <v>335</v>
      </c>
      <c r="E258" s="18">
        <f>+E257/E256</f>
        <v>9.9999999999999936E-2</v>
      </c>
      <c r="F258" s="18">
        <f>+F257/F256</f>
        <v>0.10999999999999989</v>
      </c>
      <c r="G258" s="18">
        <f>+G257/G256</f>
        <v>0.12</v>
      </c>
      <c r="H258" s="18">
        <f>+H257/H256</f>
        <v>7.0000000000000076E-2</v>
      </c>
      <c r="I258" s="18">
        <f>+I257/I256</f>
        <v>7.9999999999999891E-2</v>
      </c>
      <c r="J258" s="122">
        <f>AVERAGE(E258:I258)</f>
        <v>9.599999999999996E-2</v>
      </c>
    </row>
    <row r="259" spans="2:18">
      <c r="B259" s="133" t="s">
        <v>438</v>
      </c>
      <c r="D259" s="181">
        <f t="shared" ref="D259:I259" si="121">+D199</f>
        <v>0</v>
      </c>
      <c r="E259" s="181">
        <f t="shared" si="121"/>
        <v>0</v>
      </c>
      <c r="F259" s="181">
        <f t="shared" si="121"/>
        <v>2.722527953600018</v>
      </c>
      <c r="G259" s="181">
        <f t="shared" si="121"/>
        <v>6.9211485545228246</v>
      </c>
      <c r="H259" s="181">
        <f t="shared" si="121"/>
        <v>11.465529720786988</v>
      </c>
      <c r="I259" s="181">
        <f t="shared" si="121"/>
        <v>20.503712775562001</v>
      </c>
      <c r="J259" s="122"/>
    </row>
    <row r="260" spans="2:18">
      <c r="B260" s="180" t="s">
        <v>351</v>
      </c>
      <c r="D260" s="181">
        <f t="shared" ref="D260:I260" si="122">+D197</f>
        <v>0</v>
      </c>
      <c r="E260" s="181">
        <f t="shared" si="122"/>
        <v>9.7233141200000635</v>
      </c>
      <c r="F260" s="181">
        <f t="shared" si="122"/>
        <v>15.550446670084463</v>
      </c>
      <c r="G260" s="181">
        <f t="shared" si="122"/>
        <v>19.758178983757222</v>
      </c>
      <c r="H260" s="181">
        <f t="shared" si="122"/>
        <v>25.94822217374125</v>
      </c>
      <c r="I260" s="181">
        <f t="shared" si="122"/>
        <v>23.926251812422564</v>
      </c>
      <c r="J260" s="122"/>
    </row>
    <row r="261" spans="2:18" ht="12.75">
      <c r="B261" s="178" t="s">
        <v>439</v>
      </c>
      <c r="E261" s="60">
        <f>-E259+D260+D259</f>
        <v>0</v>
      </c>
      <c r="F261" s="60">
        <f>-F259+E260+E259</f>
        <v>7.0007861664000455</v>
      </c>
      <c r="G261" s="60">
        <f>-G259+F260+F259</f>
        <v>11.351826069161657</v>
      </c>
      <c r="H261" s="60">
        <f>-H259+G260+G259</f>
        <v>15.213797817493059</v>
      </c>
      <c r="I261" s="60">
        <f>-I259+H260+H259</f>
        <v>16.910039118966239</v>
      </c>
      <c r="J261" s="122"/>
    </row>
    <row r="262" spans="2:18">
      <c r="B262" s="115" t="s">
        <v>329</v>
      </c>
      <c r="E262" s="116"/>
      <c r="F262" s="116">
        <f>+F261/E197</f>
        <v>0.72</v>
      </c>
      <c r="G262" s="116">
        <f>+G261/F197</f>
        <v>0.72999999999999987</v>
      </c>
      <c r="H262" s="116">
        <f>+H261/G197</f>
        <v>0.76999999999999991</v>
      </c>
      <c r="I262" s="116">
        <f>+I261/H197</f>
        <v>0.65168391906550904</v>
      </c>
      <c r="J262" s="116">
        <f>AVERAGE(F262:I262)</f>
        <v>0.71792097976637725</v>
      </c>
    </row>
    <row r="263" spans="2:18">
      <c r="B263" s="115"/>
      <c r="E263" s="116"/>
      <c r="F263" s="116"/>
      <c r="G263" s="116"/>
      <c r="H263" s="116"/>
      <c r="I263" s="116"/>
      <c r="J263" s="116"/>
    </row>
    <row r="264" spans="2:18">
      <c r="B264" s="58" t="s">
        <v>310</v>
      </c>
      <c r="E264" s="126">
        <f t="shared" ref="E264:I265" si="123">+E189</f>
        <v>23.436599999999999</v>
      </c>
      <c r="F264" s="126">
        <f t="shared" si="123"/>
        <v>24.972869129999999</v>
      </c>
      <c r="G264" s="126">
        <f t="shared" si="123"/>
        <v>26.4517624398786</v>
      </c>
      <c r="H264" s="126">
        <f t="shared" si="123"/>
        <v>27.99654536636751</v>
      </c>
      <c r="I264" s="126">
        <f t="shared" si="123"/>
        <v>29.607466586748295</v>
      </c>
    </row>
    <row r="265" spans="2:18">
      <c r="B265" s="121" t="s">
        <v>38</v>
      </c>
      <c r="E265" s="127">
        <f t="shared" si="123"/>
        <v>52.5229152</v>
      </c>
      <c r="F265" s="127">
        <f t="shared" si="123"/>
        <v>56.494218109287161</v>
      </c>
      <c r="G265" s="127">
        <f t="shared" si="123"/>
        <v>60.717433518051948</v>
      </c>
      <c r="H265" s="127">
        <f t="shared" si="123"/>
        <v>64.983109089425682</v>
      </c>
      <c r="I265" s="127">
        <f t="shared" si="123"/>
        <v>69.192812247936644</v>
      </c>
    </row>
    <row r="266" spans="2:18">
      <c r="B266" s="121" t="s">
        <v>292</v>
      </c>
      <c r="E266" s="124"/>
      <c r="F266" s="124">
        <f>+F243/E243-1</f>
        <v>6.6604999999999803E-2</v>
      </c>
      <c r="G266" s="124">
        <f>+G243/F243-1</f>
        <v>6.5549999999999997E-2</v>
      </c>
      <c r="H266" s="124">
        <f>+H243/G243-1</f>
        <v>6.2599999999999989E-2</v>
      </c>
      <c r="I266" s="124">
        <f>+I243/H243-1</f>
        <v>5.3359999999999852E-2</v>
      </c>
    </row>
    <row r="267" spans="2:18">
      <c r="B267" s="121" t="s">
        <v>291</v>
      </c>
      <c r="E267" s="124"/>
      <c r="F267" s="124">
        <f>+(1+F266)/(1+F240)-1</f>
        <v>1.0999999999999899E-2</v>
      </c>
      <c r="G267" s="124">
        <f>+(1+G266)/(1+G240)-1</f>
        <v>1.0000000000000009E-2</v>
      </c>
      <c r="H267" s="124">
        <f>+(1+H266)/(1+H240)-1</f>
        <v>1.2000000000000011E-2</v>
      </c>
      <c r="I267" s="124">
        <f>+(1+I266)/(1+I240)-1</f>
        <v>8.0000000000000071E-3</v>
      </c>
      <c r="J267" s="134">
        <f>AVERAGE(E267:I267)</f>
        <v>1.0249999999999981E-2</v>
      </c>
    </row>
    <row r="268" spans="2:18">
      <c r="B268" s="121" t="s">
        <v>293</v>
      </c>
      <c r="E268" s="124"/>
      <c r="F268" s="124">
        <f>+F244/E244-1</f>
        <v>6.1329999999999885E-2</v>
      </c>
      <c r="G268" s="124">
        <f>+G244/F244-1</f>
        <v>6.2384999999999913E-2</v>
      </c>
      <c r="H268" s="124">
        <f>+H244/G244-1</f>
        <v>5.5250000000000021E-2</v>
      </c>
      <c r="I268" s="124">
        <f>+I244/H244-1</f>
        <v>4.9180000000000001E-2</v>
      </c>
      <c r="J268" s="122"/>
    </row>
    <row r="269" spans="2:18">
      <c r="B269" s="121" t="s">
        <v>294</v>
      </c>
      <c r="E269" s="124"/>
      <c r="F269" s="124">
        <f>+(1+F268)/(1+F240)-1</f>
        <v>6.0000000000000053E-3</v>
      </c>
      <c r="G269" s="124">
        <f>+(1+G268)/(1+G240)-1</f>
        <v>6.9999999999998952E-3</v>
      </c>
      <c r="H269" s="124">
        <f>+(1+H268)/(1+H240)-1</f>
        <v>4.9999999999998934E-3</v>
      </c>
      <c r="I269" s="124">
        <f>+(1+I268)/(1+I240)-1</f>
        <v>4.0000000000000036E-3</v>
      </c>
      <c r="J269" s="122">
        <f t="shared" ref="J269:J277" si="124">AVERAGE(E269:I269)</f>
        <v>5.4999999999999494E-3</v>
      </c>
    </row>
    <row r="270" spans="2:18">
      <c r="B270" s="121" t="s">
        <v>295</v>
      </c>
      <c r="E270" s="124"/>
      <c r="F270" s="124">
        <f>+F186/E186-1</f>
        <v>7.5137839999999789E-2</v>
      </c>
      <c r="G270" s="124">
        <f>+G186/F186-1</f>
        <v>8.3664349999999832E-2</v>
      </c>
      <c r="H270" s="124">
        <f>+H186/G186-1</f>
        <v>7.8538999999999692E-2</v>
      </c>
      <c r="I270" s="124">
        <f>+I186/H186-1</f>
        <v>7.5480559999999697E-2</v>
      </c>
      <c r="J270" s="122"/>
    </row>
    <row r="271" spans="2:18">
      <c r="B271" s="121" t="s">
        <v>296</v>
      </c>
      <c r="E271" s="124"/>
      <c r="F271" s="124">
        <f>+(1+F270)/(1+F240)-1</f>
        <v>1.9087999999999772E-2</v>
      </c>
      <c r="G271" s="124">
        <f>+(1+G270)/(1+G240)-1</f>
        <v>2.7169999999999916E-2</v>
      </c>
      <c r="H271" s="124">
        <f>+(1+H270)/(1+H240)-1</f>
        <v>2.717999999999976E-2</v>
      </c>
      <c r="I271" s="124">
        <f>+(1+I270)/(1+I240)-1</f>
        <v>2.9167999999999861E-2</v>
      </c>
      <c r="J271" s="122">
        <f t="shared" si="124"/>
        <v>2.5651499999999827E-2</v>
      </c>
      <c r="P271" s="114" t="s">
        <v>296</v>
      </c>
      <c r="Q271" s="114" t="s">
        <v>297</v>
      </c>
      <c r="R271" s="114" t="s">
        <v>373</v>
      </c>
    </row>
    <row r="272" spans="2:18">
      <c r="B272" s="121" t="s">
        <v>336</v>
      </c>
      <c r="E272" s="124">
        <f>+E188/E186</f>
        <v>0.29126393744080464</v>
      </c>
      <c r="F272" s="124">
        <f>+F188/F186</f>
        <v>0.29474755436265154</v>
      </c>
      <c r="G272" s="124">
        <f>+G188/G186</f>
        <v>0.29673067837575573</v>
      </c>
      <c r="H272" s="124">
        <f>+H188/H186</f>
        <v>0.30161154505862131</v>
      </c>
      <c r="I272" s="124">
        <f>+I188/I186</f>
        <v>0.30386568886462767</v>
      </c>
      <c r="J272" s="122">
        <f t="shared" si="124"/>
        <v>0.29764388082049215</v>
      </c>
      <c r="P272" s="122">
        <f>+J271</f>
        <v>2.5651499999999827E-2</v>
      </c>
      <c r="Q272" s="122">
        <v>0</v>
      </c>
      <c r="R272" s="122">
        <f t="shared" ref="R272:R277" si="125">+(1+P272)/(1+Q272)-1</f>
        <v>2.5651499999999938E-2</v>
      </c>
    </row>
    <row r="273" spans="2:18">
      <c r="B273" s="161" t="s">
        <v>297</v>
      </c>
      <c r="F273" s="124">
        <f>+F242/E242-1</f>
        <v>8.0000000000000071E-3</v>
      </c>
      <c r="G273" s="124">
        <f>+G242/F242-1</f>
        <v>1.6999999999999904E-2</v>
      </c>
      <c r="H273" s="124">
        <f>+H242/G242-1</f>
        <v>1.4999999999999902E-2</v>
      </c>
      <c r="I273" s="124">
        <f>+I242/H242-1</f>
        <v>2.0999999999999908E-2</v>
      </c>
      <c r="J273" s="162">
        <f>+J24</f>
        <v>0.03</v>
      </c>
      <c r="K273" s="162">
        <f>+K24</f>
        <v>0.03</v>
      </c>
      <c r="L273" s="162">
        <f>+L24</f>
        <v>0.03</v>
      </c>
      <c r="M273" s="162">
        <f>+M24</f>
        <v>0.04</v>
      </c>
      <c r="N273" s="162">
        <f>+N24</f>
        <v>0.04</v>
      </c>
      <c r="O273" s="162"/>
      <c r="P273" s="124">
        <f>+P272</f>
        <v>2.5651499999999827E-2</v>
      </c>
      <c r="Q273" s="122">
        <v>5.0000000000000001E-3</v>
      </c>
      <c r="R273" s="122">
        <f t="shared" si="125"/>
        <v>2.0548756218905506E-2</v>
      </c>
    </row>
    <row r="274" spans="2:18" ht="13.5" customHeight="1">
      <c r="B274" s="121" t="s">
        <v>311</v>
      </c>
      <c r="F274" s="124">
        <f>+F264/E264-1</f>
        <v>6.5549999999999997E-2</v>
      </c>
      <c r="G274" s="124">
        <f>+G264/F264-1</f>
        <v>5.922000000000005E-2</v>
      </c>
      <c r="H274" s="124">
        <f>+H264/G264-1</f>
        <v>5.8400000000000007E-2</v>
      </c>
      <c r="I274" s="124">
        <f>+I264/H264-1</f>
        <v>5.7539999999999925E-2</v>
      </c>
      <c r="J274" s="122"/>
      <c r="P274" s="124">
        <f>+P273</f>
        <v>2.5651499999999827E-2</v>
      </c>
      <c r="Q274" s="122">
        <v>0.01</v>
      </c>
      <c r="R274" s="122">
        <f t="shared" si="125"/>
        <v>1.5496534653465233E-2</v>
      </c>
    </row>
    <row r="275" spans="2:18" ht="12.75" customHeight="1">
      <c r="B275" s="121" t="s">
        <v>312</v>
      </c>
      <c r="F275" s="124">
        <f>+(1+F274)/(1+F240)-1</f>
        <v>1.0000000000000009E-2</v>
      </c>
      <c r="G275" s="124">
        <f>+(1+G274)/(1+G240)-1</f>
        <v>4.0000000000000036E-3</v>
      </c>
      <c r="H275" s="124">
        <f>+(1+H274)/(1+H240)-1</f>
        <v>8.0000000000000071E-3</v>
      </c>
      <c r="I275" s="124">
        <f>+(1+I274)/(1+I240)-1</f>
        <v>1.2000000000000011E-2</v>
      </c>
      <c r="J275" s="122">
        <f t="shared" si="124"/>
        <v>8.5000000000000075E-3</v>
      </c>
      <c r="P275" s="124">
        <f>+P274</f>
        <v>2.5651499999999827E-2</v>
      </c>
      <c r="Q275" s="122">
        <v>1.4999999999999999E-2</v>
      </c>
      <c r="R275" s="122">
        <f t="shared" si="125"/>
        <v>1.0494088669950719E-2</v>
      </c>
    </row>
    <row r="276" spans="2:18">
      <c r="B276" s="121" t="s">
        <v>313</v>
      </c>
      <c r="F276" s="124">
        <f>+F265/E265-1</f>
        <v>7.5610862309622107E-2</v>
      </c>
      <c r="G276" s="124">
        <f>+G265/F265-1</f>
        <v>7.4754825362748578E-2</v>
      </c>
      <c r="H276" s="124">
        <f>+H265/G265-1</f>
        <v>7.0254543451766738E-2</v>
      </c>
      <c r="I276" s="124">
        <f>+I265/H265-1</f>
        <v>6.4781498107728819E-2</v>
      </c>
      <c r="J276" s="122"/>
      <c r="P276" s="124">
        <f>+P275</f>
        <v>2.5651499999999827E-2</v>
      </c>
      <c r="Q276" s="122">
        <v>0.02</v>
      </c>
      <c r="R276" s="122">
        <f t="shared" si="125"/>
        <v>5.5406862745097651E-3</v>
      </c>
    </row>
    <row r="277" spans="2:18">
      <c r="B277" s="121" t="s">
        <v>314</v>
      </c>
      <c r="F277" s="124">
        <f>+(1+F276)/(1+F240)-1</f>
        <v>1.9536362378788752E-2</v>
      </c>
      <c r="G277" s="124">
        <f>+(1+G276)/(1+G240)-1</f>
        <v>1.8724952950472717E-2</v>
      </c>
      <c r="H277" s="124">
        <f>+(1+H276)/(1+H240)-1</f>
        <v>1.9290041382634904E-2</v>
      </c>
      <c r="I277" s="124">
        <f>+(1+I276)/(1+I240)-1</f>
        <v>1.8929663260984553E-2</v>
      </c>
      <c r="J277" s="122">
        <f t="shared" si="124"/>
        <v>1.9120254993220231E-2</v>
      </c>
      <c r="P277" s="124">
        <f>+P276</f>
        <v>2.5651499999999827E-2</v>
      </c>
      <c r="Q277" s="122">
        <v>2.5000000000000001E-2</v>
      </c>
      <c r="R277" s="122">
        <f t="shared" si="125"/>
        <v>6.3560975609755488E-4</v>
      </c>
    </row>
    <row r="278" spans="2:18">
      <c r="B278" s="121" t="s">
        <v>316</v>
      </c>
      <c r="E278" s="124">
        <f>+(1+E241)/(1+E240)-1</f>
        <v>3.0000000000000027E-2</v>
      </c>
      <c r="F278" s="124">
        <f>+(1+F241)/(1+F240)-1</f>
        <v>3.0000000000000027E-2</v>
      </c>
      <c r="G278" s="124">
        <f>+(1+G241)/(1+G240)-1</f>
        <v>3.0000000000000027E-2</v>
      </c>
      <c r="H278" s="124">
        <f>+(1+H241)/(1+H240)-1</f>
        <v>3.0000000000000027E-2</v>
      </c>
      <c r="I278" s="124">
        <f>+(1+I241)/(1+I240)-1</f>
        <v>3.0000000000000027E-2</v>
      </c>
      <c r="J278" s="122">
        <f>AVERAGE(E278:I278)</f>
        <v>3.0000000000000027E-2</v>
      </c>
      <c r="K278" s="124"/>
      <c r="L278" s="122"/>
      <c r="M278" s="122"/>
    </row>
    <row r="279" spans="2:18">
      <c r="B279" s="121"/>
      <c r="E279" s="124"/>
      <c r="F279" s="124"/>
      <c r="G279" s="124"/>
      <c r="H279" s="124"/>
      <c r="I279" s="124"/>
      <c r="J279" s="122"/>
      <c r="K279" s="124"/>
      <c r="L279" s="122"/>
      <c r="M279" s="122"/>
    </row>
    <row r="280" spans="2:18">
      <c r="B280" s="121"/>
      <c r="E280" s="124"/>
      <c r="F280" s="124"/>
      <c r="G280" s="124"/>
      <c r="H280" s="124"/>
      <c r="I280" s="124"/>
      <c r="J280" s="122"/>
      <c r="K280" s="124"/>
      <c r="L280" s="122"/>
      <c r="M280" s="122"/>
    </row>
    <row r="281" spans="2:18">
      <c r="K281" s="124"/>
      <c r="L281" s="122"/>
      <c r="M281" s="122"/>
    </row>
    <row r="282" spans="2:18">
      <c r="K282" s="124"/>
      <c r="L282" s="122"/>
      <c r="M282" s="122"/>
    </row>
    <row r="283" spans="2:18">
      <c r="B283" s="121" t="s">
        <v>319</v>
      </c>
      <c r="E283" s="60">
        <f>+E193</f>
        <v>8.933400000000006</v>
      </c>
      <c r="F283" s="60">
        <f>+F193</f>
        <v>5.0607983112829924</v>
      </c>
      <c r="G283" s="60">
        <f>+G193</f>
        <v>4.1793831928862932</v>
      </c>
      <c r="H283" s="60">
        <f>+H193</f>
        <v>3.0174033098640001</v>
      </c>
      <c r="I283" s="60">
        <f>+I193</f>
        <v>6.9577370236517027</v>
      </c>
      <c r="J283" s="122"/>
      <c r="K283" s="124"/>
      <c r="L283" s="122"/>
      <c r="M283" s="122"/>
    </row>
    <row r="284" spans="2:18">
      <c r="B284" s="133" t="s">
        <v>320</v>
      </c>
      <c r="D284" s="60"/>
      <c r="E284" s="60">
        <f>+E215+E217</f>
        <v>37.252839979999976</v>
      </c>
      <c r="F284" s="60">
        <f>+F215+F217</f>
        <v>29.92755598199998</v>
      </c>
      <c r="G284" s="60">
        <f>+G215+G217</f>
        <v>22.60227198399998</v>
      </c>
      <c r="H284" s="60">
        <f>+H215+H217</f>
        <v>55.575351658527225</v>
      </c>
      <c r="I284" s="60">
        <f>+I215+I217</f>
        <v>44.3382102456046</v>
      </c>
      <c r="J284" s="122"/>
      <c r="K284" s="124"/>
      <c r="L284" s="122"/>
      <c r="M284" s="122"/>
    </row>
    <row r="285" spans="2:18" ht="12.75">
      <c r="B285" s="121" t="s">
        <v>321</v>
      </c>
      <c r="E285" s="18"/>
      <c r="F285" s="18">
        <f>+F283/E284</f>
        <v>0.13584999999999989</v>
      </c>
      <c r="G285" s="18">
        <f>+G283/F284</f>
        <v>0.13964999999999986</v>
      </c>
      <c r="H285" s="18">
        <f>+H283/G284</f>
        <v>0.13350000000000012</v>
      </c>
      <c r="I285" s="18">
        <f>+I283/H284</f>
        <v>0.12519465583236017</v>
      </c>
      <c r="J285" s="122"/>
    </row>
    <row r="286" spans="2:18" ht="12.75">
      <c r="B286" s="121" t="s">
        <v>325</v>
      </c>
      <c r="E286" s="18"/>
      <c r="F286" s="18">
        <f>+F285-F241</f>
        <v>4.9199999999999994E-2</v>
      </c>
      <c r="G286" s="18">
        <f>+G285-G241</f>
        <v>5.2999999999999964E-2</v>
      </c>
      <c r="H286" s="18">
        <f>+H285-H241</f>
        <v>5.1999999999999991E-2</v>
      </c>
      <c r="I286" s="18">
        <f>+I285-I241</f>
        <v>4.8844655832360251E-2</v>
      </c>
      <c r="J286" s="122">
        <f>AVERAGE(E286:I286)</f>
        <v>5.076116395809005E-2</v>
      </c>
    </row>
    <row r="288" spans="2:18">
      <c r="C288" s="177" t="s">
        <v>431</v>
      </c>
    </row>
    <row r="289" spans="2:16">
      <c r="C289" s="177" t="s">
        <v>432</v>
      </c>
    </row>
    <row r="290" spans="2:16">
      <c r="C290" t="s">
        <v>430</v>
      </c>
    </row>
    <row r="292" spans="2:16">
      <c r="K292" s="60"/>
      <c r="L292" s="60"/>
      <c r="M292" s="60"/>
      <c r="N292" s="60"/>
      <c r="O292" s="60"/>
    </row>
    <row r="293" spans="2:16" ht="12.75">
      <c r="B293" s="121" t="s">
        <v>322</v>
      </c>
      <c r="E293" s="30">
        <f>+E194</f>
        <v>0</v>
      </c>
      <c r="F293" s="30">
        <f>+F194</f>
        <v>0.82317499999999888</v>
      </c>
      <c r="G293" s="30">
        <f>+G194</f>
        <v>1.1227440409409486</v>
      </c>
      <c r="H293" s="30">
        <f>+H194</f>
        <v>2.5976720834126081</v>
      </c>
      <c r="I293" s="30">
        <f>+I194</f>
        <v>2.5954349780477033E-16</v>
      </c>
      <c r="J293" s="122"/>
    </row>
    <row r="294" spans="2:16">
      <c r="B294" s="121" t="s">
        <v>323</v>
      </c>
      <c r="D294" s="60">
        <f t="shared" ref="D294:I294" si="126">+D207</f>
        <v>0</v>
      </c>
      <c r="E294" s="60">
        <f t="shared" si="126"/>
        <v>10</v>
      </c>
      <c r="F294" s="60">
        <f t="shared" si="126"/>
        <v>13.727155409474875</v>
      </c>
      <c r="G294" s="60">
        <f t="shared" si="126"/>
        <v>33.101906128226872</v>
      </c>
      <c r="H294" s="60">
        <f t="shared" si="126"/>
        <v>0</v>
      </c>
      <c r="I294" s="60">
        <f t="shared" si="126"/>
        <v>30.654608375014135</v>
      </c>
      <c r="J294" s="122"/>
      <c r="P294" s="124">
        <f>13/479.3</f>
        <v>2.7122887544335488E-2</v>
      </c>
    </row>
    <row r="295" spans="2:16">
      <c r="B295" s="121" t="s">
        <v>324</v>
      </c>
      <c r="D295" s="60"/>
      <c r="E295" s="124" t="str">
        <f>IF(D294&lt;=0,"NC",E293/D294)</f>
        <v>NC</v>
      </c>
      <c r="F295" s="124">
        <f>IF(E294&lt;=0,"NC",F293/E294)</f>
        <v>8.2317499999999891E-2</v>
      </c>
      <c r="G295" s="124">
        <f>IF(F294&lt;=0,"NC",G293/F294)</f>
        <v>8.1789999999999891E-2</v>
      </c>
      <c r="H295" s="124">
        <f>IF(G294&lt;=0,"NC",H293/G294)</f>
        <v>7.8475000000000128E-2</v>
      </c>
      <c r="I295" s="124" t="str">
        <f>IF(H294&lt;=0,"NC",I293/H294)</f>
        <v>NC</v>
      </c>
      <c r="J295" s="122"/>
    </row>
    <row r="296" spans="2:16" ht="12.75">
      <c r="B296" s="121" t="s">
        <v>326</v>
      </c>
      <c r="E296" s="18" t="str">
        <f>IF(E295="NC","NC",E295-E241)</f>
        <v>NC</v>
      </c>
      <c r="F296" s="18">
        <f>IF(F295="NC","NC",F295-F241)</f>
        <v>-4.332500000000003E-3</v>
      </c>
      <c r="G296" s="18">
        <f>IF(G295="NC","NC",G295-G241)</f>
        <v>-4.8600000000000032E-3</v>
      </c>
      <c r="H296" s="18">
        <f>IF(H295="NC","NC",H295-H241)</f>
        <v>-3.0249999999999999E-3</v>
      </c>
      <c r="I296" s="18" t="str">
        <f>IF(I295="NC","NC",I295-I241)</f>
        <v>NC</v>
      </c>
      <c r="J296" s="122">
        <f>AVERAGE(E296:I296)</f>
        <v>-4.0725000000000023E-3</v>
      </c>
    </row>
    <row r="297" spans="2:16" ht="12.75">
      <c r="B297" s="121" t="s">
        <v>334</v>
      </c>
      <c r="E297" s="18">
        <f>+E196/E195</f>
        <v>0.35</v>
      </c>
      <c r="F297" s="18">
        <f>+F196/F195</f>
        <v>0.35</v>
      </c>
      <c r="G297" s="18">
        <f>+G196/G195</f>
        <v>0.35</v>
      </c>
      <c r="H297" s="18">
        <f>+H196/H195</f>
        <v>0.35</v>
      </c>
      <c r="I297" s="18">
        <f>+I196/I195</f>
        <v>0.35</v>
      </c>
      <c r="J297" s="122">
        <f>AVERAGE(E297:I297)</f>
        <v>0.35</v>
      </c>
    </row>
    <row r="298" spans="2:16">
      <c r="B298" s="121" t="s">
        <v>298</v>
      </c>
    </row>
    <row r="299" spans="2:16">
      <c r="B299" s="121" t="s">
        <v>299</v>
      </c>
      <c r="J299" s="116">
        <f>+J18</f>
        <v>0.04</v>
      </c>
      <c r="K299" s="116">
        <f>+K18</f>
        <v>3.5000000000000003E-2</v>
      </c>
      <c r="L299" s="116">
        <f>+L18</f>
        <v>0.03</v>
      </c>
      <c r="M299" s="116">
        <f>+M18</f>
        <v>0.03</v>
      </c>
      <c r="N299" s="116">
        <f>+N18</f>
        <v>0.03</v>
      </c>
    </row>
    <row r="300" spans="2:16">
      <c r="B300" s="121" t="s">
        <v>300</v>
      </c>
      <c r="J300" s="124">
        <f>+(1+$J$267)*(1+J299)-1</f>
        <v>5.0660000000000149E-2</v>
      </c>
      <c r="K300" s="124">
        <f>+(1+$J$267)*(1+K299)-1</f>
        <v>4.5608749999999976E-2</v>
      </c>
      <c r="L300" s="124">
        <f>+(1+$J$267)*(1+L299)-1</f>
        <v>4.0557500000000024E-2</v>
      </c>
      <c r="M300" s="124">
        <f>+(1+$J$267)*(1+M299)-1</f>
        <v>4.0557500000000024E-2</v>
      </c>
      <c r="N300" s="124">
        <f>+(1+$J$267)*(1+N299)-1</f>
        <v>4.0557500000000024E-2</v>
      </c>
    </row>
    <row r="301" spans="2:16">
      <c r="B301" s="121" t="s">
        <v>293</v>
      </c>
      <c r="J301" s="124">
        <f>+(1+$J$269)*(1+J299)-1</f>
        <v>4.5720000000000205E-2</v>
      </c>
      <c r="K301" s="124">
        <f>+(1+$J$269)*(1+K299)-1</f>
        <v>4.069250000000002E-2</v>
      </c>
      <c r="L301" s="124">
        <f>+(1+$J$269)*(1+L299)-1</f>
        <v>3.5665000000000058E-2</v>
      </c>
      <c r="M301" s="124">
        <f>+(1+$J$269)*(1+M299)-1</f>
        <v>3.5665000000000058E-2</v>
      </c>
      <c r="N301" s="124">
        <f>+(1+$J$269)*(1+N299)-1</f>
        <v>3.5665000000000058E-2</v>
      </c>
    </row>
    <row r="302" spans="2:16">
      <c r="B302" s="121" t="s">
        <v>301</v>
      </c>
      <c r="J302" s="124">
        <f>+(1+$J$271)*(1+J299)-1</f>
        <v>6.6677560000000025E-2</v>
      </c>
      <c r="K302" s="124">
        <f>+(1+$J$271)*(1+K299)-1</f>
        <v>6.1549302499999792E-2</v>
      </c>
      <c r="L302" s="124">
        <f>+(1+$J$271)*(1+L299)-1</f>
        <v>5.6421045000000003E-2</v>
      </c>
      <c r="M302" s="124">
        <f>+(1+$J$271)*(1+M299)-1</f>
        <v>5.6421045000000003E-2</v>
      </c>
      <c r="N302" s="124">
        <f>+(1+$J$271)*(1+N299)-1</f>
        <v>5.6421045000000003E-2</v>
      </c>
    </row>
    <row r="305" spans="2:14" ht="12.75">
      <c r="B305" s="121" t="s">
        <v>303</v>
      </c>
      <c r="J305" s="135"/>
      <c r="K305" s="135"/>
      <c r="L305" s="136"/>
      <c r="M305" s="136"/>
      <c r="N305" s="136"/>
    </row>
    <row r="306" spans="2:14">
      <c r="B306" s="121" t="s">
        <v>302</v>
      </c>
      <c r="I306" s="60">
        <f>+I243</f>
        <v>9.5145558590014865</v>
      </c>
      <c r="J306" s="120">
        <f t="shared" ref="J306:N307" si="127">+I306*(1+J300)</f>
        <v>9.9965632588185027</v>
      </c>
      <c r="K306" s="120">
        <f t="shared" si="127"/>
        <v>10.45249401334914</v>
      </c>
      <c r="L306" s="120">
        <f t="shared" si="127"/>
        <v>10.876421039295549</v>
      </c>
      <c r="M306" s="120">
        <f t="shared" si="127"/>
        <v>11.317541485596777</v>
      </c>
      <c r="N306" s="120">
        <f t="shared" si="127"/>
        <v>11.776552674398868</v>
      </c>
    </row>
    <row r="307" spans="2:14">
      <c r="B307" s="121" t="s">
        <v>290</v>
      </c>
      <c r="I307" s="123">
        <f>+I244</f>
        <v>6.6493572356694228</v>
      </c>
      <c r="J307" s="120">
        <f t="shared" si="127"/>
        <v>6.9533658484842302</v>
      </c>
      <c r="K307" s="120">
        <f t="shared" si="127"/>
        <v>7.2363156882736748</v>
      </c>
      <c r="L307" s="120">
        <f t="shared" si="127"/>
        <v>7.4943988872959562</v>
      </c>
      <c r="M307" s="120">
        <f t="shared" si="127"/>
        <v>7.7616866236113671</v>
      </c>
      <c r="N307" s="120">
        <f t="shared" si="127"/>
        <v>8.038507177042467</v>
      </c>
    </row>
    <row r="308" spans="2:14">
      <c r="B308" s="121" t="s">
        <v>304</v>
      </c>
      <c r="I308" s="60">
        <f>+I242</f>
        <v>54.180554505839979</v>
      </c>
      <c r="J308" s="120">
        <f>+I308*(1+J24)</f>
        <v>55.805971141015178</v>
      </c>
      <c r="K308" s="120">
        <f>+J308*(1+K24)</f>
        <v>57.480150275245634</v>
      </c>
      <c r="L308" s="120">
        <f>+K308*(1+L24)</f>
        <v>59.204554783503006</v>
      </c>
      <c r="M308" s="120">
        <f>+L308*(1+M24)</f>
        <v>61.572736974843131</v>
      </c>
      <c r="N308" s="120">
        <f>+M308*(1+N24)</f>
        <v>64.035646453836861</v>
      </c>
    </row>
    <row r="309" spans="2:14">
      <c r="B309" s="121" t="s">
        <v>305</v>
      </c>
      <c r="J309" s="125">
        <f>+J308*J306</f>
        <v>557.86792073095796</v>
      </c>
      <c r="K309" s="125">
        <f>+K308*K306</f>
        <v>600.81092663841389</v>
      </c>
      <c r="L309" s="125">
        <f>+L308*L306</f>
        <v>643.93366526941804</v>
      </c>
      <c r="M309" s="125">
        <f>+M308*M306</f>
        <v>696.85200509452579</v>
      </c>
      <c r="N309" s="125">
        <f>+N308*N306</f>
        <v>754.11916350279284</v>
      </c>
    </row>
    <row r="310" spans="2:14">
      <c r="B310" s="121" t="s">
        <v>301</v>
      </c>
      <c r="J310" s="124">
        <f>+(1+$J$271)*(1+J299)-1</f>
        <v>6.6677560000000025E-2</v>
      </c>
      <c r="K310" s="124">
        <f>+(1+$J$271)*(1+K299)-1</f>
        <v>6.1549302499999792E-2</v>
      </c>
      <c r="L310" s="124">
        <f>+(1+$J$271)*(1+L299)-1</f>
        <v>5.6421045000000003E-2</v>
      </c>
      <c r="M310" s="124">
        <f>+(1+$J$271)*(1+M299)-1</f>
        <v>5.6421045000000003E-2</v>
      </c>
      <c r="N310" s="124">
        <f>+(1+$J$271)*(1+N299)-1</f>
        <v>5.6421045000000003E-2</v>
      </c>
    </row>
    <row r="311" spans="2:14">
      <c r="B311" s="133" t="s">
        <v>426</v>
      </c>
      <c r="J311" s="125">
        <f>+I248*(1+J310)</f>
        <v>549.87645536127332</v>
      </c>
      <c r="K311" s="125">
        <f>+J311*(1+K310)</f>
        <v>583.72096764993194</v>
      </c>
      <c r="L311" s="125">
        <f>+K311*(1+L310)</f>
        <v>616.65511463315227</v>
      </c>
      <c r="M311" s="125">
        <f>+L311*(1+M310)</f>
        <v>651.44744060534947</v>
      </c>
      <c r="N311" s="125">
        <f>+M311*(1+N310)</f>
        <v>688.20278596687876</v>
      </c>
    </row>
    <row r="312" spans="2:14" ht="13.5" customHeight="1">
      <c r="B312" s="121" t="s">
        <v>307</v>
      </c>
      <c r="I312" s="60">
        <f>+I186</f>
        <v>515.50391231748915</v>
      </c>
      <c r="J312" s="125">
        <f>+I312*(1+$J$271)*(1+J299)</f>
        <v>549.8764553612732</v>
      </c>
      <c r="K312" s="125">
        <f>+J312*(1+$J$271)*(1+K299)</f>
        <v>583.72096764993194</v>
      </c>
      <c r="L312" s="125">
        <f>+K312*(1+$J$271)*(1+L299)</f>
        <v>616.65511463315227</v>
      </c>
      <c r="M312" s="125">
        <f>+L312*(1+$J$271)*(1+M299)</f>
        <v>651.44744060534947</v>
      </c>
      <c r="N312" s="125">
        <f>+M312*(1+$J$271)*(1+N299)</f>
        <v>688.20278596687876</v>
      </c>
    </row>
    <row r="313" spans="2:14">
      <c r="B313" s="121" t="s">
        <v>308</v>
      </c>
      <c r="J313" s="124">
        <f>+J311/J309-1</f>
        <v>-1.4325013274134268E-2</v>
      </c>
      <c r="K313" s="124">
        <f>+K311/K309-1</f>
        <v>-2.8444820542964599E-2</v>
      </c>
      <c r="L313" s="124">
        <f>+L311/L309-1</f>
        <v>-4.2362361385240854E-2</v>
      </c>
      <c r="M313" s="124">
        <f>+M311/M309-1</f>
        <v>-6.5156681988763676E-2</v>
      </c>
      <c r="N313" s="124">
        <f>+N311/N309-1</f>
        <v>-8.7408437188812971E-2</v>
      </c>
    </row>
    <row r="314" spans="2:14">
      <c r="B314" s="121" t="s">
        <v>309</v>
      </c>
      <c r="J314" s="124">
        <f>+J312/J309-1</f>
        <v>-1.432501327413449E-2</v>
      </c>
      <c r="K314" s="124">
        <f>+K312/K309-1</f>
        <v>-2.8444820542964599E-2</v>
      </c>
      <c r="L314" s="124">
        <f>+L312/L309-1</f>
        <v>-4.2362361385240854E-2</v>
      </c>
      <c r="M314" s="124">
        <f>+M312/M309-1</f>
        <v>-6.5156681988763676E-2</v>
      </c>
      <c r="N314" s="124">
        <f>+N312/N309-1</f>
        <v>-8.7408437188812971E-2</v>
      </c>
    </row>
    <row r="315" spans="2:14">
      <c r="B315" s="58" t="s">
        <v>37</v>
      </c>
      <c r="J315" s="137">
        <f>+J311*(1-$J$272)</f>
        <v>386.20909321572776</v>
      </c>
      <c r="K315" s="137">
        <f>+K311*(1-$J$272)</f>
        <v>409.97999352231324</v>
      </c>
      <c r="L315" s="137">
        <f>+L311*(1-$J$272)</f>
        <v>433.11149318593533</v>
      </c>
      <c r="M315" s="137">
        <f>+M311*(1-$J$272)</f>
        <v>457.54809623299616</v>
      </c>
      <c r="N315" s="137">
        <f>+N311*(1-$J$272)</f>
        <v>483.36343796022237</v>
      </c>
    </row>
    <row r="316" spans="2:14">
      <c r="J316" s="60">
        <f>+J186</f>
        <v>557.86792073095796</v>
      </c>
      <c r="K316" s="60">
        <f>+K186</f>
        <v>600.81092663841389</v>
      </c>
      <c r="L316" s="60">
        <f>+L186</f>
        <v>643.93366526941804</v>
      </c>
      <c r="M316" s="60">
        <f>+M186</f>
        <v>696.85200509452579</v>
      </c>
      <c r="N316" s="60">
        <f>+N186</f>
        <v>754.11916350279284</v>
      </c>
    </row>
    <row r="317" spans="2:14">
      <c r="I317" s="60">
        <f>+I312</f>
        <v>515.50391231748915</v>
      </c>
      <c r="J317" s="140">
        <f>+I317*(1+J299)*(1+J24)*(1+J19)</f>
        <v>557.86792073095808</v>
      </c>
      <c r="K317" s="140">
        <f>+J317*(1+K299)*(1+K24)*(1+K19)</f>
        <v>600.81092663841412</v>
      </c>
      <c r="L317" s="140">
        <f>+K317*(1+L299)*(1+L24)*(1+L19)</f>
        <v>643.93366526941816</v>
      </c>
      <c r="M317" s="140">
        <f>+L317*(1+M299)*(1+M24)*(1+M19)</f>
        <v>696.85200509452602</v>
      </c>
      <c r="N317" s="140">
        <f>+M317*(1+N299)*(1+N24)*(1+N19)</f>
        <v>754.1191635027933</v>
      </c>
    </row>
    <row r="318" spans="2:14">
      <c r="B318" s="121"/>
      <c r="E318" s="60">
        <f>+E215</f>
        <v>0</v>
      </c>
      <c r="F318" s="60">
        <f>+F215</f>
        <v>0</v>
      </c>
      <c r="G318" s="60">
        <f>+G215</f>
        <v>0</v>
      </c>
      <c r="H318" s="60">
        <f>+H215</f>
        <v>0</v>
      </c>
      <c r="I318" s="60">
        <f>+I215</f>
        <v>0</v>
      </c>
    </row>
    <row r="319" spans="2:14">
      <c r="B319" s="121"/>
      <c r="E319" s="60">
        <f>+E217</f>
        <v>37.252839979999976</v>
      </c>
      <c r="F319" s="60">
        <f>+F217</f>
        <v>29.92755598199998</v>
      </c>
      <c r="G319" s="60">
        <f>+G217</f>
        <v>22.60227198399998</v>
      </c>
      <c r="H319" s="60">
        <f>+H217</f>
        <v>55.575351658527225</v>
      </c>
      <c r="I319" s="60">
        <f>+I217</f>
        <v>44.3382102456046</v>
      </c>
    </row>
    <row r="320" spans="2:14">
      <c r="B320" s="121"/>
      <c r="F320" s="60">
        <f>+E319-F319</f>
        <v>7.3252839979999962</v>
      </c>
      <c r="G320" s="60">
        <f>+F319-G319</f>
        <v>7.3252839979999997</v>
      </c>
      <c r="H320" s="60">
        <f>+G319-H319</f>
        <v>-32.973079674527241</v>
      </c>
      <c r="I320" s="60">
        <f>+H319-I319</f>
        <v>11.237141412922625</v>
      </c>
    </row>
    <row r="321" spans="2:19">
      <c r="B321" s="121" t="s">
        <v>338</v>
      </c>
      <c r="E321">
        <f>+E2</f>
        <v>1</v>
      </c>
      <c r="F321">
        <f t="shared" ref="F321:N321" si="128">+F2</f>
        <v>2</v>
      </c>
      <c r="G321">
        <f t="shared" si="128"/>
        <v>3</v>
      </c>
      <c r="H321">
        <f t="shared" si="128"/>
        <v>4</v>
      </c>
      <c r="I321">
        <f t="shared" si="128"/>
        <v>5</v>
      </c>
      <c r="J321">
        <f t="shared" si="128"/>
        <v>6</v>
      </c>
      <c r="K321">
        <f t="shared" si="128"/>
        <v>7</v>
      </c>
      <c r="L321">
        <f t="shared" si="128"/>
        <v>8</v>
      </c>
      <c r="M321">
        <f t="shared" si="128"/>
        <v>9</v>
      </c>
      <c r="N321">
        <f t="shared" si="128"/>
        <v>10</v>
      </c>
      <c r="O321">
        <v>11</v>
      </c>
    </row>
    <row r="322" spans="2:19">
      <c r="B322" s="58" t="s">
        <v>54</v>
      </c>
      <c r="C322" s="58">
        <f t="shared" ref="C322:H322" si="129">+C177</f>
        <v>0</v>
      </c>
      <c r="D322" s="58">
        <f t="shared" si="129"/>
        <v>0</v>
      </c>
      <c r="E322" s="139">
        <f t="shared" si="129"/>
        <v>0</v>
      </c>
      <c r="F322" s="139">
        <f t="shared" si="129"/>
        <v>13.252839979999978</v>
      </c>
      <c r="G322" s="139">
        <f t="shared" si="129"/>
        <v>11.92755598199998</v>
      </c>
      <c r="H322" s="139">
        <f t="shared" si="129"/>
        <v>10.602271983999982</v>
      </c>
      <c r="I322" s="139">
        <f t="shared" ref="I322:O322" si="130">+H326</f>
        <v>9.276987985999984</v>
      </c>
      <c r="J322" s="139">
        <f t="shared" si="130"/>
        <v>7.951703987999986</v>
      </c>
      <c r="K322" s="139">
        <f t="shared" si="130"/>
        <v>6.626419989999988</v>
      </c>
      <c r="L322" s="139">
        <f t="shared" si="130"/>
        <v>5.3011359919999901</v>
      </c>
      <c r="M322" s="139">
        <f t="shared" si="130"/>
        <v>3.9758519939999921</v>
      </c>
      <c r="N322" s="139">
        <f t="shared" si="130"/>
        <v>2.6505679959999942</v>
      </c>
      <c r="O322" s="139">
        <f t="shared" si="130"/>
        <v>1.3252839979999964</v>
      </c>
    </row>
    <row r="323" spans="2:19">
      <c r="B323" s="58" t="s">
        <v>62</v>
      </c>
      <c r="C323" s="58">
        <f t="shared" ref="C323:H325" si="131">+C178</f>
        <v>0</v>
      </c>
      <c r="D323" s="58">
        <f t="shared" si="131"/>
        <v>0</v>
      </c>
      <c r="E323" s="139">
        <f t="shared" si="131"/>
        <v>0</v>
      </c>
      <c r="F323" s="139">
        <f t="shared" si="131"/>
        <v>1.8003983112829955</v>
      </c>
      <c r="G323" s="139">
        <f t="shared" si="131"/>
        <v>1.6656831928862958</v>
      </c>
      <c r="H323" s="139">
        <f t="shared" si="131"/>
        <v>1.4154033098639989</v>
      </c>
      <c r="I323" s="139">
        <f>+I322*I327</f>
        <v>1.1628704440450972</v>
      </c>
      <c r="J323" s="139">
        <f t="shared" ref="J323:O323" si="132">+J322*J327</f>
        <v>0.96979907382666597</v>
      </c>
      <c r="K323" s="139">
        <f t="shared" si="132"/>
        <v>0.77403983190705361</v>
      </c>
      <c r="L323" s="139">
        <f t="shared" si="132"/>
        <v>0.59193101516684299</v>
      </c>
      <c r="M323" s="139">
        <f t="shared" si="132"/>
        <v>0.44394826137513221</v>
      </c>
      <c r="N323" s="139">
        <f t="shared" si="132"/>
        <v>0.29596550758342138</v>
      </c>
      <c r="O323" s="139">
        <f t="shared" si="132"/>
        <v>0.14798275379171064</v>
      </c>
    </row>
    <row r="324" spans="2:19">
      <c r="B324" s="58" t="s">
        <v>69</v>
      </c>
      <c r="C324" s="58">
        <f t="shared" si="131"/>
        <v>0</v>
      </c>
      <c r="D324" s="58">
        <f t="shared" si="131"/>
        <v>0</v>
      </c>
      <c r="E324" s="139">
        <f t="shared" si="131"/>
        <v>0</v>
      </c>
      <c r="F324" s="139">
        <f t="shared" si="131"/>
        <v>1.3252839979999977</v>
      </c>
      <c r="G324" s="139">
        <f t="shared" si="131"/>
        <v>1.3252839979999977</v>
      </c>
      <c r="H324" s="139">
        <f t="shared" si="131"/>
        <v>1.3252839979999977</v>
      </c>
      <c r="I324" s="139">
        <f t="shared" ref="I324:O324" si="133">+H324</f>
        <v>1.3252839979999977</v>
      </c>
      <c r="J324" s="139">
        <f t="shared" si="133"/>
        <v>1.3252839979999977</v>
      </c>
      <c r="K324" s="139">
        <f t="shared" si="133"/>
        <v>1.3252839979999977</v>
      </c>
      <c r="L324" s="139">
        <f t="shared" si="133"/>
        <v>1.3252839979999977</v>
      </c>
      <c r="M324" s="139">
        <f t="shared" si="133"/>
        <v>1.3252839979999977</v>
      </c>
      <c r="N324" s="139">
        <f t="shared" si="133"/>
        <v>1.3252839979999977</v>
      </c>
      <c r="O324" s="139">
        <f t="shared" si="133"/>
        <v>1.3252839979999977</v>
      </c>
    </row>
    <row r="325" spans="2:19">
      <c r="B325" s="58" t="s">
        <v>63</v>
      </c>
      <c r="C325" s="58">
        <f t="shared" si="131"/>
        <v>0</v>
      </c>
      <c r="D325" s="58">
        <f t="shared" si="131"/>
        <v>0</v>
      </c>
      <c r="E325" s="139">
        <f t="shared" si="131"/>
        <v>0</v>
      </c>
      <c r="F325" s="139">
        <f t="shared" si="131"/>
        <v>3.1256823092829933</v>
      </c>
      <c r="G325" s="139">
        <f t="shared" si="131"/>
        <v>2.9909671908862938</v>
      </c>
      <c r="H325" s="139">
        <f t="shared" si="131"/>
        <v>2.7406873078639968</v>
      </c>
      <c r="I325" s="139">
        <f>+I324+I323</f>
        <v>2.4881544420450949</v>
      </c>
      <c r="J325" s="139">
        <f t="shared" ref="J325:O325" si="134">+J324+J323</f>
        <v>2.2950830718266637</v>
      </c>
      <c r="K325" s="139">
        <f t="shared" si="134"/>
        <v>2.0993238299070516</v>
      </c>
      <c r="L325" s="139">
        <f t="shared" si="134"/>
        <v>1.9172150131668406</v>
      </c>
      <c r="M325" s="139">
        <f t="shared" si="134"/>
        <v>1.76923225937513</v>
      </c>
      <c r="N325" s="139">
        <f t="shared" si="134"/>
        <v>1.6212495055834191</v>
      </c>
      <c r="O325" s="139">
        <f t="shared" si="134"/>
        <v>1.4732667517917084</v>
      </c>
    </row>
    <row r="326" spans="2:19">
      <c r="B326" s="58" t="s">
        <v>57</v>
      </c>
      <c r="C326" s="58">
        <f t="shared" ref="C326:G327" si="135">+C182</f>
        <v>0</v>
      </c>
      <c r="D326" s="58">
        <f t="shared" si="135"/>
        <v>0</v>
      </c>
      <c r="E326" s="139">
        <f t="shared" si="135"/>
        <v>13.252839979999978</v>
      </c>
      <c r="F326" s="139">
        <f t="shared" si="135"/>
        <v>11.92755598199998</v>
      </c>
      <c r="G326" s="139">
        <f t="shared" si="135"/>
        <v>10.602271983999982</v>
      </c>
      <c r="H326" s="139">
        <f>+H322-H324</f>
        <v>9.276987985999984</v>
      </c>
      <c r="I326" s="139">
        <f t="shared" ref="I326:N326" si="136">+I322-I324</f>
        <v>7.951703987999986</v>
      </c>
      <c r="J326" s="139">
        <f t="shared" si="136"/>
        <v>6.626419989999988</v>
      </c>
      <c r="K326" s="139">
        <f t="shared" si="136"/>
        <v>5.3011359919999901</v>
      </c>
      <c r="L326" s="139">
        <f t="shared" si="136"/>
        <v>3.9758519939999921</v>
      </c>
      <c r="M326" s="139">
        <f t="shared" si="136"/>
        <v>2.6505679959999942</v>
      </c>
      <c r="N326" s="139">
        <f t="shared" si="136"/>
        <v>1.3252839979999964</v>
      </c>
      <c r="O326" s="139">
        <f>+O322-O324</f>
        <v>0</v>
      </c>
    </row>
    <row r="327" spans="2:19">
      <c r="B327" s="58" t="s">
        <v>58</v>
      </c>
      <c r="C327" s="58">
        <f t="shared" si="135"/>
        <v>0</v>
      </c>
      <c r="D327" s="58">
        <f t="shared" si="135"/>
        <v>0</v>
      </c>
      <c r="E327" s="141">
        <f t="shared" si="135"/>
        <v>0.14180000000000009</v>
      </c>
      <c r="F327" s="141">
        <f t="shared" si="135"/>
        <v>0.13584999999999989</v>
      </c>
      <c r="G327" s="141">
        <f t="shared" si="135"/>
        <v>0.13964999999999989</v>
      </c>
      <c r="H327" s="141">
        <f t="shared" ref="H327:N327" si="137">+H183</f>
        <v>0.13350000000000012</v>
      </c>
      <c r="I327" s="141">
        <f t="shared" si="137"/>
        <v>0.12534999999999991</v>
      </c>
      <c r="J327" s="141">
        <f t="shared" si="137"/>
        <v>0.1219611639580902</v>
      </c>
      <c r="K327" s="141">
        <f t="shared" si="137"/>
        <v>0.11681116395808999</v>
      </c>
      <c r="L327" s="141">
        <f t="shared" si="137"/>
        <v>0.11166116395809</v>
      </c>
      <c r="M327" s="141">
        <f t="shared" si="137"/>
        <v>0.11166116395809</v>
      </c>
      <c r="N327" s="141">
        <f t="shared" si="137"/>
        <v>0.11166116395809</v>
      </c>
      <c r="O327" s="141">
        <f>+N327</f>
        <v>0.11166116395809</v>
      </c>
    </row>
    <row r="329" spans="2:19">
      <c r="B329" s="133" t="s">
        <v>433</v>
      </c>
      <c r="H329">
        <f>+H2</f>
        <v>4</v>
      </c>
      <c r="I329">
        <f t="shared" ref="I329:N329" si="138">+I2</f>
        <v>5</v>
      </c>
      <c r="J329">
        <f t="shared" si="138"/>
        <v>6</v>
      </c>
      <c r="K329">
        <f t="shared" si="138"/>
        <v>7</v>
      </c>
      <c r="L329">
        <f t="shared" si="138"/>
        <v>8</v>
      </c>
      <c r="M329">
        <f t="shared" si="138"/>
        <v>9</v>
      </c>
      <c r="N329">
        <f t="shared" si="138"/>
        <v>10</v>
      </c>
      <c r="O329">
        <f>+N329+1</f>
        <v>11</v>
      </c>
      <c r="P329">
        <f>+O329+1</f>
        <v>12</v>
      </c>
      <c r="Q329">
        <f>+P329+1</f>
        <v>13</v>
      </c>
      <c r="R329">
        <f>+Q329+1</f>
        <v>14</v>
      </c>
    </row>
    <row r="330" spans="2:19">
      <c r="B330" s="58" t="s">
        <v>54</v>
      </c>
      <c r="H330" s="120"/>
      <c r="I330" s="120">
        <f>+H334</f>
        <v>40.298363672527245</v>
      </c>
      <c r="J330" s="120">
        <f t="shared" ref="J330:R330" si="139">+I334</f>
        <v>36.268527305274517</v>
      </c>
      <c r="K330" s="120">
        <f t="shared" si="139"/>
        <v>32.23869093802179</v>
      </c>
      <c r="L330" s="120">
        <f t="shared" si="139"/>
        <v>28.208854570769066</v>
      </c>
      <c r="M330" s="120">
        <f t="shared" si="139"/>
        <v>24.179018203516343</v>
      </c>
      <c r="N330" s="120">
        <f t="shared" si="139"/>
        <v>20.149181836263619</v>
      </c>
      <c r="O330" s="120">
        <f t="shared" si="139"/>
        <v>16.119345469010895</v>
      </c>
      <c r="P330" s="120">
        <f t="shared" si="139"/>
        <v>12.089509101758171</v>
      </c>
      <c r="Q330" s="120">
        <f t="shared" si="139"/>
        <v>8.0596727345054475</v>
      </c>
      <c r="R330" s="120">
        <f t="shared" si="139"/>
        <v>4.0298363672527229</v>
      </c>
      <c r="S330" s="140"/>
    </row>
    <row r="331" spans="2:19">
      <c r="B331" s="58" t="s">
        <v>62</v>
      </c>
      <c r="H331" s="120"/>
      <c r="I331" s="120">
        <f>+I330*I335</f>
        <v>5.0513998863512866</v>
      </c>
      <c r="J331" s="120">
        <f t="shared" ref="J331:R331" si="140">+J330*J335</f>
        <v>4.4233518051970568</v>
      </c>
      <c r="K331" s="120">
        <f t="shared" si="140"/>
        <v>3.7658390129554533</v>
      </c>
      <c r="L331" s="120">
        <f t="shared" si="140"/>
        <v>3.1498335352965614</v>
      </c>
      <c r="M331" s="120">
        <f t="shared" si="140"/>
        <v>2.6998573159684813</v>
      </c>
      <c r="N331" s="120">
        <f t="shared" si="140"/>
        <v>2.2498810966404008</v>
      </c>
      <c r="O331" s="120">
        <f t="shared" si="140"/>
        <v>1.7999048773123207</v>
      </c>
      <c r="P331" s="120">
        <f t="shared" si="140"/>
        <v>1.3499286579842407</v>
      </c>
      <c r="Q331" s="120">
        <f t="shared" si="140"/>
        <v>0.89995243865616037</v>
      </c>
      <c r="R331" s="120">
        <f t="shared" si="140"/>
        <v>0.44997621932808007</v>
      </c>
    </row>
    <row r="332" spans="2:19">
      <c r="B332" s="58" t="s">
        <v>69</v>
      </c>
      <c r="H332" s="120"/>
      <c r="I332" s="120">
        <f>+$H$334/10</f>
        <v>4.0298363672527246</v>
      </c>
      <c r="J332" s="120">
        <f t="shared" ref="J332:R332" si="141">+$H$334/10</f>
        <v>4.0298363672527246</v>
      </c>
      <c r="K332" s="120">
        <f t="shared" si="141"/>
        <v>4.0298363672527246</v>
      </c>
      <c r="L332" s="120">
        <f t="shared" si="141"/>
        <v>4.0298363672527246</v>
      </c>
      <c r="M332" s="120">
        <f t="shared" si="141"/>
        <v>4.0298363672527246</v>
      </c>
      <c r="N332" s="120">
        <f t="shared" si="141"/>
        <v>4.0298363672527246</v>
      </c>
      <c r="O332" s="120">
        <f t="shared" si="141"/>
        <v>4.0298363672527246</v>
      </c>
      <c r="P332" s="120">
        <f t="shared" si="141"/>
        <v>4.0298363672527246</v>
      </c>
      <c r="Q332" s="120">
        <f t="shared" si="141"/>
        <v>4.0298363672527246</v>
      </c>
      <c r="R332" s="120">
        <f t="shared" si="141"/>
        <v>4.0298363672527246</v>
      </c>
    </row>
    <row r="333" spans="2:19">
      <c r="B333" s="58" t="s">
        <v>63</v>
      </c>
      <c r="H333" s="120"/>
      <c r="I333" s="120">
        <f>+I332+I331</f>
        <v>9.0812362536040112</v>
      </c>
      <c r="J333" s="120">
        <f t="shared" ref="J333:R333" si="142">+J332+J331</f>
        <v>8.4531881724497815</v>
      </c>
      <c r="K333" s="120">
        <f t="shared" si="142"/>
        <v>7.795675380208178</v>
      </c>
      <c r="L333" s="120">
        <f t="shared" si="142"/>
        <v>7.1796699025492856</v>
      </c>
      <c r="M333" s="120">
        <f t="shared" si="142"/>
        <v>6.729693683221206</v>
      </c>
      <c r="N333" s="120">
        <f t="shared" si="142"/>
        <v>6.2797174638931255</v>
      </c>
      <c r="O333" s="120">
        <f t="shared" si="142"/>
        <v>5.8297412445650458</v>
      </c>
      <c r="P333" s="120">
        <f t="shared" si="142"/>
        <v>5.3797650252369653</v>
      </c>
      <c r="Q333" s="120">
        <f t="shared" si="142"/>
        <v>4.9297888059088848</v>
      </c>
      <c r="R333" s="120">
        <f t="shared" si="142"/>
        <v>4.4798125865808043</v>
      </c>
    </row>
    <row r="334" spans="2:19">
      <c r="B334" s="58" t="s">
        <v>57</v>
      </c>
      <c r="H334" s="120">
        <f>+H136</f>
        <v>40.298363672527245</v>
      </c>
      <c r="I334" s="120">
        <f>+I330-I332</f>
        <v>36.268527305274517</v>
      </c>
      <c r="J334" s="120">
        <f t="shared" ref="J334:R334" si="143">+J330-J332</f>
        <v>32.23869093802179</v>
      </c>
      <c r="K334" s="120">
        <f t="shared" si="143"/>
        <v>28.208854570769066</v>
      </c>
      <c r="L334" s="120">
        <f t="shared" si="143"/>
        <v>24.179018203516343</v>
      </c>
      <c r="M334" s="120">
        <f t="shared" si="143"/>
        <v>20.149181836263619</v>
      </c>
      <c r="N334" s="120">
        <f t="shared" si="143"/>
        <v>16.119345469010895</v>
      </c>
      <c r="O334" s="120">
        <f t="shared" si="143"/>
        <v>12.089509101758171</v>
      </c>
      <c r="P334" s="120">
        <f t="shared" si="143"/>
        <v>8.0596727345054475</v>
      </c>
      <c r="Q334" s="120">
        <f t="shared" si="143"/>
        <v>4.0298363672527229</v>
      </c>
      <c r="R334" s="120">
        <f t="shared" si="143"/>
        <v>0</v>
      </c>
      <c r="S334" s="140"/>
    </row>
    <row r="335" spans="2:19">
      <c r="B335" s="58" t="s">
        <v>58</v>
      </c>
      <c r="H335" s="142">
        <f>+H327</f>
        <v>0.13350000000000012</v>
      </c>
      <c r="I335" s="142">
        <f>+I327</f>
        <v>0.12534999999999991</v>
      </c>
      <c r="J335" s="142">
        <f t="shared" ref="J335:O335" si="144">+J327</f>
        <v>0.1219611639580902</v>
      </c>
      <c r="K335" s="142">
        <f t="shared" si="144"/>
        <v>0.11681116395808999</v>
      </c>
      <c r="L335" s="142">
        <f t="shared" si="144"/>
        <v>0.11166116395809</v>
      </c>
      <c r="M335" s="142">
        <f t="shared" si="144"/>
        <v>0.11166116395809</v>
      </c>
      <c r="N335" s="142">
        <f t="shared" si="144"/>
        <v>0.11166116395809</v>
      </c>
      <c r="O335" s="142">
        <f t="shared" si="144"/>
        <v>0.11166116395809</v>
      </c>
      <c r="P335" s="142">
        <f>+O335</f>
        <v>0.11166116395809</v>
      </c>
      <c r="Q335" s="142">
        <f>+P335</f>
        <v>0.11166116395809</v>
      </c>
      <c r="R335" s="142">
        <f>+Q335</f>
        <v>0.11166116395809</v>
      </c>
    </row>
    <row r="336" spans="2:19"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</row>
    <row r="337" spans="2:18"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</row>
    <row r="338" spans="2:18" ht="15.75">
      <c r="B338" s="148" t="s">
        <v>70</v>
      </c>
      <c r="H338" s="142"/>
      <c r="I338" s="142"/>
      <c r="J338" s="147">
        <v>6</v>
      </c>
      <c r="K338" s="147">
        <v>7</v>
      </c>
      <c r="L338" s="147">
        <v>8</v>
      </c>
      <c r="M338" s="147">
        <v>9</v>
      </c>
      <c r="N338" s="147">
        <v>10</v>
      </c>
      <c r="O338" s="142"/>
      <c r="P338" s="142"/>
      <c r="Q338" s="142"/>
      <c r="R338" s="142"/>
    </row>
    <row r="339" spans="2:18" ht="15.75">
      <c r="B339" s="148" t="s">
        <v>369</v>
      </c>
      <c r="H339" s="142"/>
      <c r="I339" s="142"/>
      <c r="J339" s="149">
        <f>-J144</f>
        <v>10.762660094625179</v>
      </c>
      <c r="K339" s="149">
        <f>-K144</f>
        <v>9.7437543737177421</v>
      </c>
      <c r="L339" s="149">
        <f>-L144</f>
        <v>-2.5613784994623625</v>
      </c>
      <c r="M339" s="149">
        <f>-M144</f>
        <v>10.827512371016439</v>
      </c>
      <c r="N339" s="149">
        <f>-N144</f>
        <v>10.121713421125088</v>
      </c>
      <c r="O339" s="142"/>
      <c r="P339" s="142"/>
      <c r="Q339" s="142"/>
      <c r="R339" s="142"/>
    </row>
    <row r="340" spans="2:18" ht="15.75">
      <c r="B340" s="148" t="s">
        <v>358</v>
      </c>
      <c r="H340" s="142"/>
      <c r="I340" s="142"/>
      <c r="J340" s="149">
        <f>-J149</f>
        <v>17.167085675413187</v>
      </c>
      <c r="K340" s="149">
        <f>-K149</f>
        <v>23.050654097551163</v>
      </c>
      <c r="L340" s="149">
        <f>-L149</f>
        <v>18.637435306403439</v>
      </c>
      <c r="M340" s="149">
        <f>-M149</f>
        <v>29.449218378082293</v>
      </c>
      <c r="N340" s="149">
        <f>-N149</f>
        <v>30.643177066807503</v>
      </c>
      <c r="O340" s="142"/>
      <c r="P340" s="142"/>
      <c r="Q340" s="142"/>
      <c r="R340" s="142"/>
    </row>
    <row r="341" spans="2:18" ht="15.75">
      <c r="B341" s="148" t="s">
        <v>370</v>
      </c>
      <c r="H341" s="142"/>
      <c r="I341" s="142"/>
      <c r="J341" s="150">
        <f>+J340+J339</f>
        <v>27.929745770038366</v>
      </c>
      <c r="K341" s="150">
        <f>+K340+K339</f>
        <v>32.794408471268909</v>
      </c>
      <c r="L341" s="150">
        <f>+L340+L339</f>
        <v>16.076056806941075</v>
      </c>
      <c r="M341" s="150">
        <f>+M340+M339</f>
        <v>40.276730749098732</v>
      </c>
      <c r="N341" s="150">
        <f>+N340+N339</f>
        <v>40.76489048793259</v>
      </c>
      <c r="O341" s="142"/>
      <c r="P341" s="142"/>
      <c r="Q341" s="142"/>
      <c r="R341" s="142"/>
    </row>
    <row r="342" spans="2:18" ht="15.75">
      <c r="B342" s="148" t="s">
        <v>371</v>
      </c>
      <c r="H342" s="142"/>
      <c r="I342" s="142"/>
      <c r="J342" s="150">
        <f>+J363</f>
        <v>1.8926389052803601</v>
      </c>
      <c r="K342" s="150">
        <f>+K363</f>
        <v>1.6014202990276971</v>
      </c>
      <c r="L342" s="150">
        <f>+L363</f>
        <v>1.3288332982123052</v>
      </c>
      <c r="M342" s="150">
        <f>+M363</f>
        <v>1.5773146476024766</v>
      </c>
      <c r="N342" s="150">
        <f>+N363</f>
        <v>1.3302850151405039</v>
      </c>
      <c r="O342" s="142"/>
      <c r="P342" s="142"/>
      <c r="Q342" s="142"/>
      <c r="R342" s="142"/>
    </row>
    <row r="343" spans="2:18" ht="15.75">
      <c r="B343" s="148" t="s">
        <v>356</v>
      </c>
      <c r="H343" s="142"/>
      <c r="I343" s="142"/>
      <c r="J343" s="149">
        <f>+J341-J342</f>
        <v>26.037106864758005</v>
      </c>
      <c r="K343" s="149">
        <f>+K341-K342</f>
        <v>31.192988172241211</v>
      </c>
      <c r="L343" s="149">
        <f>+L341-L342</f>
        <v>14.747223508728769</v>
      </c>
      <c r="M343" s="149">
        <f>+M341-M342</f>
        <v>38.699416101496254</v>
      </c>
      <c r="N343" s="149">
        <f>+N341-N342</f>
        <v>39.434605472792086</v>
      </c>
      <c r="O343" s="142"/>
      <c r="P343" s="142"/>
      <c r="Q343" s="142"/>
      <c r="R343" s="142"/>
    </row>
    <row r="344" spans="2:18"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</row>
    <row r="345" spans="2:18"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</row>
    <row r="346" spans="2:18"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</row>
    <row r="347" spans="2:18"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</row>
    <row r="348" spans="2:18"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</row>
    <row r="351" spans="2:18" ht="12.75">
      <c r="B351" s="143" t="s">
        <v>341</v>
      </c>
    </row>
    <row r="352" spans="2:18" ht="12.75">
      <c r="B352" s="143" t="s">
        <v>342</v>
      </c>
      <c r="I352" s="60">
        <f t="shared" ref="I352:N355" si="145">+I204</f>
        <v>14.000000000000014</v>
      </c>
      <c r="J352" s="60">
        <f t="shared" si="145"/>
        <v>12.06144665202082</v>
      </c>
      <c r="K352" s="60">
        <f t="shared" si="145"/>
        <v>12.989900781721516</v>
      </c>
      <c r="L352" s="60">
        <f t="shared" si="145"/>
        <v>13.922240843156466</v>
      </c>
      <c r="M352" s="60">
        <f t="shared" si="145"/>
        <v>15.066367811198894</v>
      </c>
      <c r="N352" s="60">
        <f t="shared" si="145"/>
        <v>16.304518904649662</v>
      </c>
    </row>
    <row r="353" spans="2:15" ht="12.75">
      <c r="B353" s="143" t="s">
        <v>346</v>
      </c>
      <c r="I353" s="60">
        <f t="shared" si="145"/>
        <v>15.465117369524673</v>
      </c>
      <c r="J353" s="60">
        <f t="shared" si="145"/>
        <v>29.009131878009818</v>
      </c>
      <c r="K353" s="60">
        <f t="shared" si="145"/>
        <v>31.242168185197524</v>
      </c>
      <c r="L353" s="60">
        <f t="shared" si="145"/>
        <v>33.48455059400974</v>
      </c>
      <c r="M353" s="60">
        <f t="shared" si="145"/>
        <v>36.236304264915347</v>
      </c>
      <c r="N353" s="60">
        <f t="shared" si="145"/>
        <v>39.214196502145228</v>
      </c>
    </row>
    <row r="354" spans="2:15" ht="12.75">
      <c r="B354" s="143" t="s">
        <v>343</v>
      </c>
      <c r="I354" s="60">
        <f t="shared" si="145"/>
        <v>30.262332419423046</v>
      </c>
      <c r="J354" s="60">
        <f t="shared" si="145"/>
        <v>32.926155655999928</v>
      </c>
      <c r="K354" s="60">
        <f t="shared" si="145"/>
        <v>35.29398334238266</v>
      </c>
      <c r="L354" s="60">
        <f t="shared" si="145"/>
        <v>37.649325556037411</v>
      </c>
      <c r="M354" s="60">
        <f t="shared" si="145"/>
        <v>40.551772302073225</v>
      </c>
      <c r="N354" s="60">
        <f t="shared" si="145"/>
        <v>43.677973311675736</v>
      </c>
    </row>
    <row r="355" spans="2:15" ht="12.75">
      <c r="B355" s="143" t="s">
        <v>344</v>
      </c>
      <c r="I355" s="60">
        <f t="shared" si="145"/>
        <v>30.654608375014135</v>
      </c>
      <c r="J355" s="60">
        <f t="shared" si="145"/>
        <v>34.502469179924219</v>
      </c>
      <c r="K355" s="60">
        <f t="shared" si="145"/>
        <v>40.072616650521681</v>
      </c>
      <c r="L355" s="60">
        <f t="shared" si="145"/>
        <v>0</v>
      </c>
      <c r="M355" s="60">
        <f t="shared" si="145"/>
        <v>3.4429809909144353</v>
      </c>
      <c r="N355" s="60">
        <f t="shared" si="145"/>
        <v>10.803684472088065</v>
      </c>
    </row>
    <row r="356" spans="2:15" ht="12.75">
      <c r="B356" s="143" t="s">
        <v>345</v>
      </c>
      <c r="I356" s="60">
        <f t="shared" ref="I356:N356" si="146">SUM(I352:I355)</f>
        <v>90.382058163961872</v>
      </c>
      <c r="J356" s="60">
        <f t="shared" si="146"/>
        <v>108.49920336595478</v>
      </c>
      <c r="K356" s="60">
        <f t="shared" si="146"/>
        <v>119.59866895982339</v>
      </c>
      <c r="L356" s="60">
        <f t="shared" si="146"/>
        <v>85.056116993203617</v>
      </c>
      <c r="M356" s="60">
        <f t="shared" si="146"/>
        <v>95.297425369101902</v>
      </c>
      <c r="N356" s="60">
        <f t="shared" si="146"/>
        <v>110.00037319055869</v>
      </c>
    </row>
    <row r="357" spans="2:15" ht="12.75">
      <c r="B357" s="144"/>
    </row>
    <row r="358" spans="2:15" ht="12.75">
      <c r="B358" s="143" t="s">
        <v>347</v>
      </c>
      <c r="I358" s="60">
        <f t="shared" ref="I358:N358" si="147">+I214</f>
        <v>28.842835522782821</v>
      </c>
      <c r="J358" s="60">
        <f t="shared" si="147"/>
        <v>37.37467807409206</v>
      </c>
      <c r="K358" s="60">
        <f t="shared" si="147"/>
        <v>40.029359356650161</v>
      </c>
      <c r="L358" s="60">
        <f t="shared" si="147"/>
        <v>42.700716651848268</v>
      </c>
      <c r="M358" s="60">
        <f t="shared" si="147"/>
        <v>46.028925360658604</v>
      </c>
      <c r="N358" s="60">
        <f t="shared" si="147"/>
        <v>49.577368862992387</v>
      </c>
    </row>
    <row r="359" spans="2:15" ht="12.75">
      <c r="B359" s="143" t="s">
        <v>348</v>
      </c>
      <c r="I359" s="60">
        <f t="shared" ref="I359:N359" si="148">+I358</f>
        <v>28.842835522782821</v>
      </c>
      <c r="J359" s="60">
        <f t="shared" si="148"/>
        <v>37.37467807409206</v>
      </c>
      <c r="K359" s="60">
        <f t="shared" si="148"/>
        <v>40.029359356650161</v>
      </c>
      <c r="L359" s="60">
        <f t="shared" si="148"/>
        <v>42.700716651848268</v>
      </c>
      <c r="M359" s="60">
        <f t="shared" si="148"/>
        <v>46.028925360658604</v>
      </c>
      <c r="N359" s="60">
        <f t="shared" si="148"/>
        <v>49.577368862992387</v>
      </c>
    </row>
    <row r="360" spans="2:15" ht="25.5">
      <c r="B360" s="143" t="s">
        <v>350</v>
      </c>
      <c r="I360" s="60">
        <f t="shared" ref="I360:N360" si="149">+I356-I359</f>
        <v>61.539222641179052</v>
      </c>
      <c r="J360" s="60">
        <f t="shared" si="149"/>
        <v>71.124525291862724</v>
      </c>
      <c r="K360" s="60">
        <f t="shared" si="149"/>
        <v>79.569309603173224</v>
      </c>
      <c r="L360" s="60">
        <f t="shared" si="149"/>
        <v>42.355400341355349</v>
      </c>
      <c r="M360" s="60">
        <f t="shared" si="149"/>
        <v>49.268500008443297</v>
      </c>
      <c r="N360" s="60">
        <f t="shared" si="149"/>
        <v>60.423004327566304</v>
      </c>
    </row>
    <row r="361" spans="2:15" ht="12.75">
      <c r="B361" s="143" t="s">
        <v>349</v>
      </c>
      <c r="J361" s="60">
        <f>+J360-I360</f>
        <v>9.5853026506836727</v>
      </c>
      <c r="K361" s="60">
        <f>+K360-J360</f>
        <v>8.4447843113104994</v>
      </c>
      <c r="L361" s="60">
        <f>+L360-K360</f>
        <v>-37.213909261817875</v>
      </c>
      <c r="M361" s="60">
        <f>+M360-L360</f>
        <v>6.9130996670879483</v>
      </c>
      <c r="N361" s="60">
        <f>+N360-M360</f>
        <v>11.154504319123006</v>
      </c>
    </row>
    <row r="363" spans="2:15">
      <c r="B363" s="121" t="s">
        <v>367</v>
      </c>
      <c r="J363">
        <f>+J193*J8</f>
        <v>1.8926389052803601</v>
      </c>
      <c r="K363">
        <f>+K193*K8</f>
        <v>1.6014202990276971</v>
      </c>
      <c r="L363">
        <f>+L193*L8</f>
        <v>1.3288332982123052</v>
      </c>
      <c r="M363">
        <f>+M193*M8</f>
        <v>1.5773146476024766</v>
      </c>
      <c r="N363">
        <f>+N193*N8</f>
        <v>1.3302850151405039</v>
      </c>
      <c r="O363" t="e">
        <f>+#REF!*#REF!</f>
        <v>#REF!</v>
      </c>
    </row>
    <row r="364" spans="2:15">
      <c r="B364" s="121" t="s">
        <v>368</v>
      </c>
      <c r="J364" s="60">
        <f>+J211-I211+J191</f>
        <v>14.076317397470037</v>
      </c>
      <c r="K364" s="60">
        <f>+K211-J211+K191</f>
        <v>17.595396746837537</v>
      </c>
      <c r="L364" s="60">
        <f>+L211-K211+L191</f>
        <v>87.948903950634531</v>
      </c>
      <c r="M364" s="60">
        <f>+M211-L211+M191</f>
        <v>29.905154523735533</v>
      </c>
      <c r="N364" s="60">
        <f>+N211-M211+N191</f>
        <v>37.381443154669398</v>
      </c>
    </row>
    <row r="365" spans="2:15">
      <c r="B365" s="121"/>
      <c r="J365" s="60"/>
      <c r="K365" s="60"/>
      <c r="L365" s="60"/>
      <c r="M365" s="60"/>
      <c r="N365" s="60"/>
    </row>
    <row r="366" spans="2:15" ht="15">
      <c r="B366" s="145" t="s">
        <v>351</v>
      </c>
      <c r="J366" s="61">
        <f>+J197</f>
        <v>32.10750869134958</v>
      </c>
      <c r="K366" s="61">
        <f>+K197</f>
        <v>36.663706213928805</v>
      </c>
      <c r="L366" s="61">
        <f>+L197</f>
        <v>41.020138995889951</v>
      </c>
      <c r="M366" s="61">
        <f>+M197</f>
        <v>42.683217137322373</v>
      </c>
      <c r="N366" s="61">
        <f>+N197</f>
        <v>48.118580478082649</v>
      </c>
    </row>
    <row r="367" spans="2:15" ht="15">
      <c r="B367" s="145" t="s">
        <v>352</v>
      </c>
      <c r="J367" s="61">
        <f>+J191</f>
        <v>14.07631739747003</v>
      </c>
      <c r="K367" s="61">
        <f>+K191</f>
        <v>17.595396746837537</v>
      </c>
      <c r="L367" s="61">
        <f>+L191</f>
        <v>21.994245933546921</v>
      </c>
      <c r="M367" s="61">
        <f>+M191</f>
        <v>29.905154523735519</v>
      </c>
      <c r="N367" s="61">
        <f>+N191</f>
        <v>37.381443154669398</v>
      </c>
    </row>
    <row r="368" spans="2:15" ht="15">
      <c r="B368" s="145" t="s">
        <v>353</v>
      </c>
      <c r="J368" s="61">
        <f>+J193</f>
        <v>5.4075397293724574</v>
      </c>
      <c r="K368" s="61">
        <f>+K193</f>
        <v>4.5754865686505637</v>
      </c>
      <c r="L368" s="61">
        <f>+L193</f>
        <v>3.7966665663208725</v>
      </c>
      <c r="M368" s="61">
        <f>+M193</f>
        <v>4.5066132788642195</v>
      </c>
      <c r="N368" s="61">
        <f>+N193</f>
        <v>3.8008143289728684</v>
      </c>
    </row>
    <row r="369" spans="2:14" ht="15">
      <c r="B369" s="145" t="s">
        <v>354</v>
      </c>
      <c r="J369" s="61">
        <f>-J363</f>
        <v>-1.8926389052803601</v>
      </c>
      <c r="K369" s="61">
        <f>-K363</f>
        <v>-1.6014202990276971</v>
      </c>
      <c r="L369" s="61">
        <f>-L363</f>
        <v>-1.3288332982123052</v>
      </c>
      <c r="M369" s="61">
        <f>-M363</f>
        <v>-1.5773146476024766</v>
      </c>
      <c r="N369" s="61">
        <f>-N363</f>
        <v>-1.3302850151405039</v>
      </c>
    </row>
    <row r="370" spans="2:14" ht="15">
      <c r="B370" s="145" t="s">
        <v>355</v>
      </c>
      <c r="J370" s="61">
        <f>-J361</f>
        <v>-9.5853026506836727</v>
      </c>
      <c r="K370" s="61">
        <f>-K361</f>
        <v>-8.4447843113104994</v>
      </c>
      <c r="L370" s="61">
        <f>-L361</f>
        <v>37.213909261817875</v>
      </c>
      <c r="M370" s="61">
        <f>-M361</f>
        <v>-6.9130996670879483</v>
      </c>
      <c r="N370" s="61">
        <f>-N361</f>
        <v>-11.154504319123006</v>
      </c>
    </row>
    <row r="371" spans="2:14" ht="15">
      <c r="B371" s="145" t="s">
        <v>363</v>
      </c>
      <c r="J371" s="61">
        <f>-J364</f>
        <v>-14.076317397470037</v>
      </c>
      <c r="K371" s="61">
        <f>-K364</f>
        <v>-17.595396746837537</v>
      </c>
      <c r="L371" s="61">
        <f>-L364</f>
        <v>-87.948903950634531</v>
      </c>
      <c r="M371" s="61">
        <f>-M364</f>
        <v>-29.905154523735533</v>
      </c>
      <c r="N371" s="61">
        <f>-N364</f>
        <v>-37.381443154669398</v>
      </c>
    </row>
    <row r="372" spans="2:14" ht="15">
      <c r="B372" s="145" t="s">
        <v>356</v>
      </c>
      <c r="J372" s="61">
        <f>SUM(J366:J371)</f>
        <v>26.037106864758002</v>
      </c>
      <c r="K372" s="61">
        <f>SUM(K366:K371)</f>
        <v>31.192988172241172</v>
      </c>
      <c r="L372" s="61">
        <f>SUM(L366:L371)</f>
        <v>14.74722350872878</v>
      </c>
      <c r="M372" s="61">
        <f>SUM(M366:M371)</f>
        <v>38.699416101496155</v>
      </c>
      <c r="N372" s="61">
        <f>SUM(N366:N371)</f>
        <v>39.434605472792001</v>
      </c>
    </row>
    <row r="373" spans="2:14">
      <c r="J373" s="61">
        <f>+J343</f>
        <v>26.037106864758005</v>
      </c>
      <c r="K373" s="61">
        <f>+K343</f>
        <v>31.192988172241211</v>
      </c>
      <c r="L373" s="61">
        <f>+L343</f>
        <v>14.747223508728769</v>
      </c>
      <c r="M373" s="61">
        <f>+M343</f>
        <v>38.699416101496254</v>
      </c>
      <c r="N373" s="61">
        <f>+N343</f>
        <v>39.434605472792086</v>
      </c>
    </row>
    <row r="375" spans="2:14" ht="15">
      <c r="B375" s="145" t="s">
        <v>351</v>
      </c>
      <c r="J375" s="60">
        <f t="shared" ref="J375:N376" si="150">+J366</f>
        <v>32.10750869134958</v>
      </c>
      <c r="K375" s="60">
        <f t="shared" si="150"/>
        <v>36.663706213928805</v>
      </c>
      <c r="L375" s="60">
        <f t="shared" si="150"/>
        <v>41.020138995889951</v>
      </c>
      <c r="M375" s="60">
        <f t="shared" si="150"/>
        <v>42.683217137322373</v>
      </c>
      <c r="N375" s="60">
        <f t="shared" si="150"/>
        <v>48.118580478082649</v>
      </c>
    </row>
    <row r="376" spans="2:14" ht="15">
      <c r="B376" s="145" t="s">
        <v>352</v>
      </c>
      <c r="J376" s="60">
        <f t="shared" si="150"/>
        <v>14.07631739747003</v>
      </c>
      <c r="K376" s="60">
        <f t="shared" si="150"/>
        <v>17.595396746837537</v>
      </c>
      <c r="L376" s="60">
        <f t="shared" si="150"/>
        <v>21.994245933546921</v>
      </c>
      <c r="M376" s="60">
        <f t="shared" si="150"/>
        <v>29.905154523735519</v>
      </c>
      <c r="N376" s="60">
        <f t="shared" si="150"/>
        <v>37.381443154669398</v>
      </c>
    </row>
    <row r="377" spans="2:14" ht="15">
      <c r="B377" s="145" t="s">
        <v>355</v>
      </c>
      <c r="J377" s="60">
        <f>+J370</f>
        <v>-9.5853026506836727</v>
      </c>
      <c r="K377" s="60">
        <f>+K370</f>
        <v>-8.4447843113104994</v>
      </c>
      <c r="L377" s="60">
        <f>+L370</f>
        <v>37.213909261817875</v>
      </c>
      <c r="M377" s="60">
        <f>+M370</f>
        <v>-6.9130996670879483</v>
      </c>
      <c r="N377" s="60">
        <f>+N370</f>
        <v>-11.154504319123006</v>
      </c>
    </row>
    <row r="378" spans="2:14" ht="12.75">
      <c r="B378" s="143" t="s">
        <v>357</v>
      </c>
      <c r="J378" s="60">
        <f>(J217+J215-I217-I215)</f>
        <v>-5.1682678050671811</v>
      </c>
      <c r="K378" s="60">
        <f>(K217+K215-J217-J215)</f>
        <v>-5.2862467573972722</v>
      </c>
      <c r="L378" s="60">
        <f>(L217+L215-K217-K215)</f>
        <v>6.3580450657832444</v>
      </c>
      <c r="M378" s="60">
        <f>(M217+M215-L217-L215)</f>
        <v>-6.3208990921522172</v>
      </c>
      <c r="N378" s="60">
        <f>(N217+N215-M217-M215)</f>
        <v>-6.3208990921522243</v>
      </c>
    </row>
    <row r="379" spans="2:14" ht="15">
      <c r="B379" s="145" t="s">
        <v>363</v>
      </c>
      <c r="J379" s="60">
        <f>-J364</f>
        <v>-14.076317397470037</v>
      </c>
      <c r="K379" s="60">
        <f>-K364</f>
        <v>-17.595396746837537</v>
      </c>
      <c r="L379" s="60">
        <f>-L364</f>
        <v>-87.948903950634531</v>
      </c>
      <c r="M379" s="60">
        <f>-M364</f>
        <v>-29.905154523735533</v>
      </c>
      <c r="N379" s="60">
        <f>-N364</f>
        <v>-37.381443154669398</v>
      </c>
    </row>
    <row r="380" spans="2:14" ht="15">
      <c r="B380" s="146" t="s">
        <v>358</v>
      </c>
      <c r="J380" s="60">
        <f>SUM(J375:J379)</f>
        <v>17.353938235598719</v>
      </c>
      <c r="K380" s="60">
        <f>SUM(K375:K379)</f>
        <v>22.932675145221033</v>
      </c>
      <c r="L380" s="60">
        <f>SUM(L375:L379)</f>
        <v>18.637435306403461</v>
      </c>
      <c r="M380" s="60">
        <f>SUM(M375:M379)</f>
        <v>29.449218378082193</v>
      </c>
      <c r="N380" s="60">
        <f>SUM(N375:N379)</f>
        <v>30.643177066807425</v>
      </c>
    </row>
    <row r="381" spans="2:14">
      <c r="J381">
        <f>+J340</f>
        <v>17.167085675413187</v>
      </c>
      <c r="K381">
        <f>+K340</f>
        <v>23.050654097551163</v>
      </c>
      <c r="L381">
        <f>+L340</f>
        <v>18.637435306403439</v>
      </c>
      <c r="M381">
        <f>+M340</f>
        <v>29.449218378082293</v>
      </c>
      <c r="N381">
        <f>+N340</f>
        <v>30.643177066807503</v>
      </c>
    </row>
    <row r="383" spans="2:14" ht="15">
      <c r="B383" s="81" t="s">
        <v>359</v>
      </c>
      <c r="J383" s="60">
        <f>+J192</f>
        <v>52.745939723139578</v>
      </c>
      <c r="K383" s="60">
        <f>+K192</f>
        <v>58.842811652634587</v>
      </c>
      <c r="L383" s="60">
        <f>+L192</f>
        <v>64.62734609113636</v>
      </c>
      <c r="M383" s="60">
        <f>+M192</f>
        <v>70.173101182437108</v>
      </c>
      <c r="N383" s="60">
        <f>+N192</f>
        <v>77.633743677608052</v>
      </c>
    </row>
    <row r="384" spans="2:14" ht="15">
      <c r="B384" s="81" t="s">
        <v>360</v>
      </c>
      <c r="J384" s="60">
        <f>-J383*J8</f>
        <v>-18.461078903098851</v>
      </c>
      <c r="K384" s="60">
        <f>-K383*K8</f>
        <v>-20.594984078422105</v>
      </c>
      <c r="L384" s="60">
        <f>-L383*L8</f>
        <v>-22.619571131897725</v>
      </c>
      <c r="M384" s="60">
        <f>-M383*M8</f>
        <v>-24.560585413852987</v>
      </c>
      <c r="N384" s="60">
        <f>-N383*N8</f>
        <v>-27.171810287162817</v>
      </c>
    </row>
    <row r="385" spans="2:14" ht="15">
      <c r="B385" s="145" t="s">
        <v>352</v>
      </c>
      <c r="J385" s="60">
        <f>+J376</f>
        <v>14.07631739747003</v>
      </c>
      <c r="K385" s="60">
        <f>+K376</f>
        <v>17.595396746837537</v>
      </c>
      <c r="L385" s="60">
        <f>+L376</f>
        <v>21.994245933546921</v>
      </c>
      <c r="M385" s="60">
        <f>+M376</f>
        <v>29.905154523735519</v>
      </c>
      <c r="N385" s="60">
        <f>+N376</f>
        <v>37.381443154669398</v>
      </c>
    </row>
    <row r="386" spans="2:14" ht="15">
      <c r="B386" s="81" t="s">
        <v>361</v>
      </c>
      <c r="J386" s="60">
        <f>J194</f>
        <v>2.0577672236937659</v>
      </c>
      <c r="K386" s="60">
        <f>K194</f>
        <v>2.1383767835987513</v>
      </c>
      <c r="L386" s="60">
        <f>L194</f>
        <v>2.2772266227075182</v>
      </c>
      <c r="M386" s="60">
        <f>M194</f>
        <v>0</v>
      </c>
      <c r="N386" s="60">
        <f>N194</f>
        <v>0.1956560022611897</v>
      </c>
    </row>
    <row r="387" spans="2:14" ht="15">
      <c r="B387" s="81" t="s">
        <v>362</v>
      </c>
      <c r="J387" s="60">
        <f>-J386*J8</f>
        <v>-0.72021852829281796</v>
      </c>
      <c r="K387" s="60">
        <f>-K386*K8</f>
        <v>-0.74843187425956292</v>
      </c>
      <c r="L387" s="60">
        <f>-L386*L8</f>
        <v>-0.79702931794763132</v>
      </c>
      <c r="M387" s="60">
        <f>-M386*M8</f>
        <v>0</v>
      </c>
      <c r="N387" s="60">
        <f>-N386*N8</f>
        <v>-6.8479600791416392E-2</v>
      </c>
    </row>
    <row r="388" spans="2:14" ht="15">
      <c r="B388" s="145" t="s">
        <v>355</v>
      </c>
      <c r="J388" s="60">
        <f>+J377</f>
        <v>-9.5853026506836727</v>
      </c>
      <c r="K388" s="60">
        <f>+K377</f>
        <v>-8.4447843113104994</v>
      </c>
      <c r="L388" s="60">
        <f>+L377</f>
        <v>37.213909261817875</v>
      </c>
      <c r="M388" s="60">
        <f>+M377</f>
        <v>-6.9130996670879483</v>
      </c>
      <c r="N388" s="60">
        <f>+N377</f>
        <v>-11.154504319123006</v>
      </c>
    </row>
    <row r="389" spans="2:14" ht="15">
      <c r="B389" s="145" t="s">
        <v>363</v>
      </c>
      <c r="J389" s="60">
        <f>+J379</f>
        <v>-14.076317397470037</v>
      </c>
      <c r="K389" s="60">
        <f>+K379</f>
        <v>-17.595396746837537</v>
      </c>
      <c r="L389" s="60">
        <f>+L379</f>
        <v>-87.948903950634531</v>
      </c>
      <c r="M389" s="60">
        <f>+M379</f>
        <v>-29.905154523735533</v>
      </c>
      <c r="N389" s="60">
        <f>+N379</f>
        <v>-37.381443154669398</v>
      </c>
    </row>
    <row r="390" spans="2:14" ht="15">
      <c r="B390" s="145" t="s">
        <v>356</v>
      </c>
      <c r="J390" s="60">
        <f>SUM(J383:J389)</f>
        <v>26.037106864757995</v>
      </c>
      <c r="K390" s="60">
        <f>SUM(K383:K389)</f>
        <v>31.192988172241165</v>
      </c>
      <c r="L390" s="60">
        <f>SUM(L383:L389)</f>
        <v>14.74722350872878</v>
      </c>
      <c r="M390" s="60">
        <f>SUM(M383:M389)</f>
        <v>38.699416101496155</v>
      </c>
      <c r="N390" s="60">
        <f>SUM(N383:N389)</f>
        <v>39.434605472792001</v>
      </c>
    </row>
    <row r="393" spans="2:14" ht="15">
      <c r="B393" s="81" t="s">
        <v>359</v>
      </c>
      <c r="J393" s="60">
        <f>+J383</f>
        <v>52.745939723139578</v>
      </c>
      <c r="K393" s="60">
        <f>+K383</f>
        <v>58.842811652634587</v>
      </c>
      <c r="L393" s="60">
        <f>+L383</f>
        <v>64.62734609113636</v>
      </c>
      <c r="M393" s="60">
        <f>+M383</f>
        <v>70.173101182437108</v>
      </c>
      <c r="N393" s="60">
        <f>+N383</f>
        <v>77.633743677608052</v>
      </c>
    </row>
    <row r="394" spans="2:14" ht="15">
      <c r="B394" s="81" t="s">
        <v>360</v>
      </c>
      <c r="J394" s="60">
        <f t="shared" ref="J394:N395" si="151">+J384</f>
        <v>-18.461078903098851</v>
      </c>
      <c r="K394" s="60">
        <f t="shared" si="151"/>
        <v>-20.594984078422105</v>
      </c>
      <c r="L394" s="60">
        <f t="shared" si="151"/>
        <v>-22.619571131897725</v>
      </c>
      <c r="M394" s="60">
        <f t="shared" si="151"/>
        <v>-24.560585413852987</v>
      </c>
      <c r="N394" s="60">
        <f t="shared" si="151"/>
        <v>-27.171810287162817</v>
      </c>
    </row>
    <row r="395" spans="2:14" ht="15">
      <c r="B395" s="145" t="s">
        <v>352</v>
      </c>
      <c r="J395" s="60">
        <f t="shared" si="151"/>
        <v>14.07631739747003</v>
      </c>
      <c r="K395" s="60">
        <f t="shared" si="151"/>
        <v>17.595396746837537</v>
      </c>
      <c r="L395" s="60">
        <f t="shared" si="151"/>
        <v>21.994245933546921</v>
      </c>
      <c r="M395" s="60">
        <f t="shared" si="151"/>
        <v>29.905154523735519</v>
      </c>
      <c r="N395" s="60">
        <f t="shared" si="151"/>
        <v>37.381443154669398</v>
      </c>
    </row>
    <row r="396" spans="2:14" ht="15">
      <c r="B396" s="145" t="s">
        <v>355</v>
      </c>
      <c r="J396" s="60">
        <f>+J388</f>
        <v>-9.5853026506836727</v>
      </c>
      <c r="K396" s="60">
        <f>+K388</f>
        <v>-8.4447843113104994</v>
      </c>
      <c r="L396" s="60">
        <f>+L388</f>
        <v>37.213909261817875</v>
      </c>
      <c r="M396" s="60">
        <f>+M388</f>
        <v>-6.9130996670879483</v>
      </c>
      <c r="N396" s="60">
        <f>+N388</f>
        <v>-11.154504319123006</v>
      </c>
    </row>
    <row r="397" spans="2:14" ht="12.75">
      <c r="B397" s="144" t="s">
        <v>364</v>
      </c>
      <c r="J397" s="60">
        <f>+J378</f>
        <v>-5.1682678050671811</v>
      </c>
      <c r="K397" s="60">
        <f>+K378</f>
        <v>-5.2862467573972722</v>
      </c>
      <c r="L397" s="60">
        <f>+L378</f>
        <v>6.3580450657832444</v>
      </c>
      <c r="M397" s="60">
        <f>+M378</f>
        <v>-6.3208990921522172</v>
      </c>
      <c r="N397" s="60">
        <f>+N378</f>
        <v>-6.3208990921522243</v>
      </c>
    </row>
    <row r="398" spans="2:14" ht="15">
      <c r="B398" s="145" t="s">
        <v>363</v>
      </c>
      <c r="J398" s="60">
        <f>+J389</f>
        <v>-14.076317397470037</v>
      </c>
      <c r="K398" s="60">
        <f>+K389</f>
        <v>-17.595396746837537</v>
      </c>
      <c r="L398" s="60">
        <f>+L389</f>
        <v>-87.948903950634531</v>
      </c>
      <c r="M398" s="60">
        <f>+M389</f>
        <v>-29.905154523735533</v>
      </c>
      <c r="N398" s="60">
        <f>+N389</f>
        <v>-37.381443154669398</v>
      </c>
    </row>
    <row r="399" spans="2:14" ht="15">
      <c r="B399" s="81" t="s">
        <v>361</v>
      </c>
      <c r="J399" s="60">
        <f t="shared" ref="J399:N400" si="152">+J386</f>
        <v>2.0577672236937659</v>
      </c>
      <c r="K399" s="60">
        <f t="shared" si="152"/>
        <v>2.1383767835987513</v>
      </c>
      <c r="L399" s="60">
        <f t="shared" si="152"/>
        <v>2.2772266227075182</v>
      </c>
      <c r="M399" s="60">
        <f t="shared" si="152"/>
        <v>0</v>
      </c>
      <c r="N399" s="60">
        <f t="shared" si="152"/>
        <v>0.1956560022611897</v>
      </c>
    </row>
    <row r="400" spans="2:14" ht="15">
      <c r="B400" s="81" t="s">
        <v>362</v>
      </c>
      <c r="J400" s="60">
        <f t="shared" si="152"/>
        <v>-0.72021852829281796</v>
      </c>
      <c r="K400" s="60">
        <f t="shared" si="152"/>
        <v>-0.74843187425956292</v>
      </c>
      <c r="L400" s="60">
        <f t="shared" si="152"/>
        <v>-0.79702931794763132</v>
      </c>
      <c r="M400" s="60">
        <f t="shared" si="152"/>
        <v>0</v>
      </c>
      <c r="N400" s="60">
        <f t="shared" si="152"/>
        <v>-6.8479600791416392E-2</v>
      </c>
    </row>
    <row r="401" spans="2:15" ht="15">
      <c r="B401" s="145" t="s">
        <v>365</v>
      </c>
      <c r="J401" s="60">
        <f t="shared" ref="J401:N402" si="153">-J368</f>
        <v>-5.4075397293724574</v>
      </c>
      <c r="K401" s="60">
        <f t="shared" si="153"/>
        <v>-4.5754865686505637</v>
      </c>
      <c r="L401" s="60">
        <f t="shared" si="153"/>
        <v>-3.7966665663208725</v>
      </c>
      <c r="M401" s="60">
        <f t="shared" si="153"/>
        <v>-4.5066132788642195</v>
      </c>
      <c r="N401" s="60">
        <f t="shared" si="153"/>
        <v>-3.8008143289728684</v>
      </c>
    </row>
    <row r="402" spans="2:15" ht="12.75">
      <c r="B402" s="143" t="s">
        <v>366</v>
      </c>
      <c r="J402" s="60">
        <f t="shared" si="153"/>
        <v>1.8926389052803601</v>
      </c>
      <c r="K402" s="60">
        <f t="shared" si="153"/>
        <v>1.6014202990276971</v>
      </c>
      <c r="L402" s="60">
        <f t="shared" si="153"/>
        <v>1.3288332982123052</v>
      </c>
      <c r="M402" s="60">
        <f t="shared" si="153"/>
        <v>1.5773146476024766</v>
      </c>
      <c r="N402" s="60">
        <f t="shared" si="153"/>
        <v>1.3302850151405039</v>
      </c>
    </row>
    <row r="403" spans="2:15" ht="12.75">
      <c r="B403" s="144" t="s">
        <v>358</v>
      </c>
      <c r="J403" s="60">
        <f>SUM(J393:J402)</f>
        <v>17.353938235598715</v>
      </c>
      <c r="K403" s="60">
        <f>SUM(K393:K402)</f>
        <v>22.93267514522103</v>
      </c>
      <c r="L403" s="60">
        <f>SUM(L393:L402)</f>
        <v>18.637435306403457</v>
      </c>
      <c r="M403" s="60">
        <f>SUM(M393:M402)</f>
        <v>29.449218378082197</v>
      </c>
      <c r="N403" s="60">
        <f>SUM(N393:N402)</f>
        <v>30.643177066807411</v>
      </c>
    </row>
    <row r="404" spans="2:15">
      <c r="J404" s="60">
        <f>+J381</f>
        <v>17.167085675413187</v>
      </c>
      <c r="K404" s="60">
        <f>+K381</f>
        <v>23.050654097551163</v>
      </c>
      <c r="L404" s="60">
        <f>+L381</f>
        <v>18.637435306403439</v>
      </c>
      <c r="M404" s="60">
        <f>+M381</f>
        <v>29.449218378082293</v>
      </c>
      <c r="N404" s="60">
        <f>+N381</f>
        <v>30.643177066807503</v>
      </c>
    </row>
    <row r="406" spans="2:15">
      <c r="B406" s="58" t="s">
        <v>336</v>
      </c>
      <c r="E406" s="142">
        <f>+E188/E186</f>
        <v>0.29126393744080464</v>
      </c>
      <c r="F406" s="142">
        <f t="shared" ref="F406:N406" si="154">+F188/F186</f>
        <v>0.29474755436265154</v>
      </c>
      <c r="G406" s="142">
        <f t="shared" si="154"/>
        <v>0.29673067837575573</v>
      </c>
      <c r="H406" s="142">
        <f t="shared" si="154"/>
        <v>0.30161154505862131</v>
      </c>
      <c r="I406" s="142">
        <f t="shared" si="154"/>
        <v>0.30386568886462767</v>
      </c>
      <c r="J406" s="142">
        <f t="shared" si="154"/>
        <v>0.3069045097115608</v>
      </c>
      <c r="K406" s="142">
        <f t="shared" si="154"/>
        <v>0.30992489112705801</v>
      </c>
      <c r="L406" s="142">
        <f t="shared" si="154"/>
        <v>0.31290470829582201</v>
      </c>
      <c r="M406" s="142">
        <f t="shared" si="154"/>
        <v>0.31611658963917266</v>
      </c>
      <c r="N406" s="142">
        <f t="shared" si="154"/>
        <v>0.3193320770919949</v>
      </c>
    </row>
    <row r="407" spans="2:15">
      <c r="B407" s="58" t="s">
        <v>375</v>
      </c>
      <c r="E407" s="142">
        <f>+E195/E186</f>
        <v>3.9216275608776253E-2</v>
      </c>
      <c r="F407" s="142">
        <f t="shared" ref="F407:N407" si="155">+F195/F186</f>
        <v>5.8335208000078936E-2</v>
      </c>
      <c r="G407" s="142">
        <f t="shared" si="155"/>
        <v>6.8397465882396882E-2</v>
      </c>
      <c r="H407" s="142">
        <f t="shared" si="155"/>
        <v>8.328462798203487E-2</v>
      </c>
      <c r="I407" s="142">
        <f t="shared" si="155"/>
        <v>7.1405118939790777E-2</v>
      </c>
      <c r="J407" s="142">
        <f t="shared" si="155"/>
        <v>8.8544555766423241E-2</v>
      </c>
      <c r="K407" s="142">
        <f t="shared" si="155"/>
        <v>9.3882616588179049E-2</v>
      </c>
      <c r="L407" s="142">
        <f t="shared" si="155"/>
        <v>9.8003737886757369E-2</v>
      </c>
      <c r="M407" s="142">
        <f t="shared" si="155"/>
        <v>9.4233047223083524E-2</v>
      </c>
      <c r="N407" s="142">
        <f t="shared" si="155"/>
        <v>9.8165633408707584E-2</v>
      </c>
    </row>
    <row r="408" spans="2:15">
      <c r="B408" s="58" t="s">
        <v>376</v>
      </c>
      <c r="E408" s="142">
        <f>+E197/E186</f>
        <v>2.5490579145704566E-2</v>
      </c>
      <c r="F408" s="142">
        <f t="shared" ref="F408:N408" si="156">+F197/F186</f>
        <v>3.7917885200051307E-2</v>
      </c>
      <c r="G408" s="142">
        <f t="shared" si="156"/>
        <v>4.4458352823557978E-2</v>
      </c>
      <c r="H408" s="142">
        <f t="shared" si="156"/>
        <v>5.4135008188322668E-2</v>
      </c>
      <c r="I408" s="142">
        <f t="shared" si="156"/>
        <v>4.6413327310864005E-2</v>
      </c>
      <c r="J408" s="142">
        <f t="shared" si="156"/>
        <v>5.7553961248175113E-2</v>
      </c>
      <c r="K408" s="142">
        <f t="shared" si="156"/>
        <v>6.1023700782316379E-2</v>
      </c>
      <c r="L408" s="142">
        <f t="shared" si="156"/>
        <v>6.370242962639229E-2</v>
      </c>
      <c r="M408" s="142">
        <f t="shared" si="156"/>
        <v>6.125148069500428E-2</v>
      </c>
      <c r="N408" s="142">
        <f t="shared" si="156"/>
        <v>6.3807661715659936E-2</v>
      </c>
    </row>
    <row r="409" spans="2:15">
      <c r="B409" s="58" t="s">
        <v>378</v>
      </c>
      <c r="E409" s="61">
        <f>+E192+E191</f>
        <v>35.142344800000103</v>
      </c>
      <c r="F409" s="61">
        <f t="shared" ref="F409:N409" si="157">+F192+F191</f>
        <v>39.411387419105246</v>
      </c>
      <c r="G409" s="61">
        <f t="shared" si="157"/>
        <v>44.703837588494913</v>
      </c>
      <c r="H409" s="61">
        <f t="shared" si="157"/>
        <v>51.590073032207158</v>
      </c>
      <c r="I409" s="61">
        <f t="shared" si="157"/>
        <v>57.843672594079521</v>
      </c>
      <c r="J409" s="61">
        <f t="shared" si="157"/>
        <v>66.822257120609606</v>
      </c>
      <c r="K409" s="61">
        <f t="shared" si="157"/>
        <v>76.438208399472131</v>
      </c>
      <c r="L409" s="61">
        <f t="shared" si="157"/>
        <v>86.621592024683281</v>
      </c>
      <c r="M409" s="61">
        <f t="shared" si="157"/>
        <v>100.07825570617263</v>
      </c>
      <c r="N409" s="61">
        <f t="shared" si="157"/>
        <v>115.01518683227745</v>
      </c>
    </row>
    <row r="410" spans="2:15">
      <c r="B410" s="58" t="s">
        <v>379</v>
      </c>
      <c r="E410" s="142">
        <f t="shared" ref="E410:N410" si="158">+E409/E186</f>
        <v>9.2128950112540034E-2</v>
      </c>
      <c r="F410" s="142">
        <f t="shared" si="158"/>
        <v>9.6099906030818999E-2</v>
      </c>
      <c r="G410" s="142">
        <f t="shared" si="158"/>
        <v>0.10058917806697609</v>
      </c>
      <c r="H410" s="142">
        <f t="shared" si="158"/>
        <v>0.10763084296622642</v>
      </c>
      <c r="I410" s="142">
        <f t="shared" si="158"/>
        <v>0.11220801862402684</v>
      </c>
      <c r="J410" s="142">
        <f t="shared" si="158"/>
        <v>0.11978150138666221</v>
      </c>
      <c r="K410" s="142">
        <f t="shared" si="158"/>
        <v>0.12722506367710409</v>
      </c>
      <c r="L410" s="142">
        <f t="shared" si="158"/>
        <v>0.13451943375012287</v>
      </c>
      <c r="M410" s="142">
        <f t="shared" si="158"/>
        <v>0.1436147919135245</v>
      </c>
      <c r="N410" s="142">
        <f t="shared" si="158"/>
        <v>0.152515931697115</v>
      </c>
    </row>
    <row r="411" spans="2:15">
      <c r="B411" s="58" t="s">
        <v>377</v>
      </c>
    </row>
    <row r="412" spans="2:15">
      <c r="B412" s="58" t="s">
        <v>336</v>
      </c>
      <c r="I412" s="122">
        <f>AVERAGE(E406:I406)</f>
        <v>0.29764388082049215</v>
      </c>
      <c r="N412" s="122">
        <f>AVERAGE(J406:N406)</f>
        <v>0.31303655517312168</v>
      </c>
      <c r="O412" s="124">
        <f>+N412/I412-1</f>
        <v>5.1715070742249791E-2</v>
      </c>
    </row>
    <row r="413" spans="2:15">
      <c r="B413" s="58" t="s">
        <v>375</v>
      </c>
      <c r="I413" s="122">
        <f>AVERAGE(E407:I407)</f>
        <v>6.4127739282615531E-2</v>
      </c>
      <c r="N413" s="122">
        <f>AVERAGE(J407:N407)</f>
        <v>9.4565918174630156E-2</v>
      </c>
      <c r="O413" s="124">
        <f>+N413/I413-1</f>
        <v>0.47464918040961024</v>
      </c>
    </row>
    <row r="414" spans="2:15">
      <c r="B414" s="58" t="s">
        <v>376</v>
      </c>
      <c r="I414" s="120">
        <f>AVERAGE(E408:I408)</f>
        <v>4.1683030533700108E-2</v>
      </c>
      <c r="N414" s="122">
        <f>AVERAGE(J408:N408)</f>
        <v>6.1467846813509606E-2</v>
      </c>
      <c r="O414" s="124">
        <f>+N414/I414-1</f>
        <v>0.47464918040960979</v>
      </c>
    </row>
    <row r="415" spans="2:15">
      <c r="B415" s="58" t="s">
        <v>378</v>
      </c>
      <c r="I415" s="120">
        <f>AVERAGE(E409:I409)</f>
        <v>45.738263086777387</v>
      </c>
      <c r="N415" s="120">
        <f>AVERAGE(J409:N409)</f>
        <v>88.995100016643022</v>
      </c>
      <c r="O415" s="124">
        <f>+N415/I415-1</f>
        <v>0.94574725865291742</v>
      </c>
    </row>
    <row r="416" spans="2:15">
      <c r="B416" s="58" t="s">
        <v>379</v>
      </c>
      <c r="I416" s="124">
        <f>AVERAGE(E410:I410)</f>
        <v>0.10173137916011768</v>
      </c>
      <c r="N416" s="124">
        <f>AVERAGE(J410:N410)</f>
        <v>0.13553134448490572</v>
      </c>
      <c r="O416" s="124">
        <f>+N416/I416-1</f>
        <v>0.33224719456117269</v>
      </c>
    </row>
    <row r="417" spans="2:22">
      <c r="R417" s="114" t="s">
        <v>392</v>
      </c>
      <c r="S417">
        <v>7</v>
      </c>
      <c r="T417">
        <v>7</v>
      </c>
      <c r="U417">
        <v>8</v>
      </c>
      <c r="V417">
        <v>8</v>
      </c>
    </row>
    <row r="418" spans="2:22">
      <c r="J418" s="114" t="s">
        <v>383</v>
      </c>
      <c r="K418" s="114" t="s">
        <v>386</v>
      </c>
      <c r="L418" s="114" t="s">
        <v>387</v>
      </c>
      <c r="M418" s="114" t="s">
        <v>388</v>
      </c>
      <c r="N418" s="114" t="s">
        <v>389</v>
      </c>
      <c r="O418" s="114" t="s">
        <v>380</v>
      </c>
      <c r="P418" s="114" t="s">
        <v>385</v>
      </c>
      <c r="Q418" s="114" t="s">
        <v>384</v>
      </c>
      <c r="R418" s="114" t="s">
        <v>381</v>
      </c>
      <c r="S418" s="114" t="s">
        <v>390</v>
      </c>
      <c r="T418" s="114" t="s">
        <v>391</v>
      </c>
      <c r="U418" s="114" t="s">
        <v>390</v>
      </c>
      <c r="V418" s="114" t="s">
        <v>391</v>
      </c>
    </row>
    <row r="419" spans="2:22">
      <c r="I419" s="114" t="s">
        <v>382</v>
      </c>
      <c r="J419" s="151">
        <f>+L131</f>
        <v>-25.341446404853158</v>
      </c>
      <c r="K419" s="151">
        <f>+K390</f>
        <v>31.192988172241165</v>
      </c>
      <c r="L419" s="151">
        <f>+K342</f>
        <v>1.6014202990276971</v>
      </c>
      <c r="M419" s="151">
        <f>+K339</f>
        <v>9.7437543737177421</v>
      </c>
      <c r="N419" s="151">
        <f>+K340</f>
        <v>23.050654097551163</v>
      </c>
      <c r="O419" s="151">
        <f>+L343</f>
        <v>14.747223508728769</v>
      </c>
      <c r="P419" s="151">
        <f>+L342</f>
        <v>1.3288332982123052</v>
      </c>
      <c r="Q419" s="151">
        <f>+L339</f>
        <v>-2.5613784994623625</v>
      </c>
      <c r="R419" s="151">
        <f>+L340</f>
        <v>18.637435306403439</v>
      </c>
      <c r="S419" s="125">
        <f>+K419+L419</f>
        <v>32.794408471268859</v>
      </c>
      <c r="T419" s="125">
        <f>+M419+N419</f>
        <v>32.794408471268909</v>
      </c>
      <c r="U419" s="125">
        <f>+O419+P419</f>
        <v>16.076056806941075</v>
      </c>
      <c r="V419" s="125">
        <f>+Q419+R419</f>
        <v>16.076056806941075</v>
      </c>
    </row>
    <row r="420" spans="2:22">
      <c r="I420" s="59">
        <v>0</v>
      </c>
      <c r="J420" s="151">
        <f t="dataTable" ref="J420:R430" dt2D="0" dtr="0" r1="J32" ca="1"/>
        <v>-23.74370289149941</v>
      </c>
      <c r="K420" s="151">
        <v>31.192988172241229</v>
      </c>
      <c r="L420" s="151">
        <v>1.6014202990276971</v>
      </c>
      <c r="M420" s="151">
        <v>9.7437543737177421</v>
      </c>
      <c r="N420" s="151">
        <v>23.050654097551163</v>
      </c>
      <c r="O420" s="151">
        <v>34.796738830544896</v>
      </c>
      <c r="P420" s="151">
        <v>1.3288332982123052</v>
      </c>
      <c r="Q420" s="151">
        <v>8.9649343713880505</v>
      </c>
      <c r="R420" s="151">
        <v>27.160637757369148</v>
      </c>
      <c r="S420" s="125">
        <f t="shared" ref="S420:S430" si="159">+K420+L420</f>
        <v>32.794408471268923</v>
      </c>
      <c r="T420" s="125">
        <f t="shared" ref="T420:T430" si="160">+M420+N420</f>
        <v>32.794408471268909</v>
      </c>
      <c r="U420" s="125">
        <f t="shared" ref="U420:U430" si="161">+O420+P420</f>
        <v>36.125572128757199</v>
      </c>
      <c r="V420" s="125">
        <f t="shared" ref="V420:V430" si="162">+Q420+R420</f>
        <v>36.125572128757199</v>
      </c>
    </row>
    <row r="421" spans="2:22">
      <c r="B421"/>
      <c r="I421" s="59">
        <v>0.01</v>
      </c>
      <c r="J421" s="151">
        <v>-24.050961259452137</v>
      </c>
      <c r="K421" s="151">
        <v>31.192988172241257</v>
      </c>
      <c r="L421" s="151">
        <v>1.6014202990276971</v>
      </c>
      <c r="M421" s="151">
        <v>9.7437543737177421</v>
      </c>
      <c r="N421" s="151">
        <v>23.050654097551163</v>
      </c>
      <c r="O421" s="151">
        <v>34.635393855468209</v>
      </c>
      <c r="P421" s="151">
        <v>1.3288332982123052</v>
      </c>
      <c r="Q421" s="151">
        <v>8.9649343713880505</v>
      </c>
      <c r="R421" s="151">
        <v>26.999292782292464</v>
      </c>
      <c r="S421" s="125">
        <f t="shared" si="159"/>
        <v>32.794408471268952</v>
      </c>
      <c r="T421" s="125">
        <f t="shared" si="160"/>
        <v>32.794408471268909</v>
      </c>
      <c r="U421" s="125">
        <f t="shared" si="161"/>
        <v>35.964227153680511</v>
      </c>
      <c r="V421" s="125">
        <f t="shared" si="162"/>
        <v>35.964227153680511</v>
      </c>
    </row>
    <row r="422" spans="2:22">
      <c r="B422"/>
      <c r="I422" s="59">
        <v>0.02</v>
      </c>
      <c r="J422" s="151">
        <v>-24.35821962740475</v>
      </c>
      <c r="K422" s="151">
        <v>31.192988172241265</v>
      </c>
      <c r="L422" s="151">
        <v>1.6014202990276971</v>
      </c>
      <c r="M422" s="151">
        <v>9.7437543737177421</v>
      </c>
      <c r="N422" s="151">
        <v>23.050654097551163</v>
      </c>
      <c r="O422" s="151">
        <v>34.474048880391535</v>
      </c>
      <c r="P422" s="151">
        <v>1.3288332982123052</v>
      </c>
      <c r="Q422" s="151">
        <v>8.9649343713880505</v>
      </c>
      <c r="R422" s="151">
        <v>26.837947807215784</v>
      </c>
      <c r="S422" s="125">
        <f t="shared" si="159"/>
        <v>32.794408471268959</v>
      </c>
      <c r="T422" s="125">
        <f t="shared" si="160"/>
        <v>32.794408471268909</v>
      </c>
      <c r="U422" s="125">
        <f t="shared" si="161"/>
        <v>35.802882178603838</v>
      </c>
      <c r="V422" s="125">
        <f t="shared" si="162"/>
        <v>35.802882178603838</v>
      </c>
    </row>
    <row r="423" spans="2:22">
      <c r="B423"/>
      <c r="I423" s="59">
        <v>0.03</v>
      </c>
      <c r="J423" s="151">
        <v>-24.665477995357364</v>
      </c>
      <c r="K423" s="151">
        <v>31.192988172241172</v>
      </c>
      <c r="L423" s="151">
        <v>1.6014202990276971</v>
      </c>
      <c r="M423" s="151">
        <v>9.7437543737177421</v>
      </c>
      <c r="N423" s="151">
        <v>23.050654097551163</v>
      </c>
      <c r="O423" s="151">
        <v>29.914692338461432</v>
      </c>
      <c r="P423" s="151">
        <v>1.3288332982123052</v>
      </c>
      <c r="Q423" s="151">
        <v>6.3261274312760101</v>
      </c>
      <c r="R423" s="151">
        <v>24.917398205397728</v>
      </c>
      <c r="S423" s="125">
        <f t="shared" si="159"/>
        <v>32.794408471268866</v>
      </c>
      <c r="T423" s="125">
        <f t="shared" si="160"/>
        <v>32.794408471268909</v>
      </c>
      <c r="U423" s="125">
        <f t="shared" si="161"/>
        <v>31.243525636673738</v>
      </c>
      <c r="V423" s="125">
        <f t="shared" si="162"/>
        <v>31.243525636673738</v>
      </c>
    </row>
    <row r="424" spans="2:22">
      <c r="B424"/>
      <c r="I424" s="59">
        <v>0.04</v>
      </c>
      <c r="J424" s="151">
        <v>-24.972736363309977</v>
      </c>
      <c r="K424" s="151">
        <v>31.192988172241201</v>
      </c>
      <c r="L424" s="151">
        <v>1.6014202990276971</v>
      </c>
      <c r="M424" s="151">
        <v>9.7437543737177421</v>
      </c>
      <c r="N424" s="151">
        <v>23.050654097551163</v>
      </c>
      <c r="O424" s="151">
        <v>23.020388324946548</v>
      </c>
      <c r="P424" s="151">
        <v>1.3288332982123052</v>
      </c>
      <c r="Q424" s="151">
        <v>2.2863520082130879</v>
      </c>
      <c r="R424" s="151">
        <v>22.062869614945768</v>
      </c>
      <c r="S424" s="125">
        <f t="shared" si="159"/>
        <v>32.794408471268895</v>
      </c>
      <c r="T424" s="125">
        <f t="shared" si="160"/>
        <v>32.794408471268909</v>
      </c>
      <c r="U424" s="125">
        <f t="shared" si="161"/>
        <v>24.349221623158854</v>
      </c>
      <c r="V424" s="125">
        <f t="shared" si="162"/>
        <v>24.349221623158854</v>
      </c>
    </row>
    <row r="425" spans="2:22">
      <c r="B425"/>
      <c r="I425" s="59">
        <v>0.05</v>
      </c>
      <c r="J425" s="151">
        <v>-25.27999473126259</v>
      </c>
      <c r="K425" s="151">
        <v>31.192988172241314</v>
      </c>
      <c r="L425" s="151">
        <v>1.6014202990276971</v>
      </c>
      <c r="M425" s="151">
        <v>9.7437543737177421</v>
      </c>
      <c r="N425" s="151">
        <v>23.050654097551163</v>
      </c>
      <c r="O425" s="151">
        <v>16.126084311431693</v>
      </c>
      <c r="P425" s="151">
        <v>1.3288332982123052</v>
      </c>
      <c r="Q425" s="151">
        <v>-1.7534234148498111</v>
      </c>
      <c r="R425" s="151">
        <v>19.208341024493809</v>
      </c>
      <c r="S425" s="125">
        <f t="shared" si="159"/>
        <v>32.794408471269008</v>
      </c>
      <c r="T425" s="125">
        <f t="shared" si="160"/>
        <v>32.794408471268909</v>
      </c>
      <c r="U425" s="125">
        <f t="shared" si="161"/>
        <v>17.454917609643999</v>
      </c>
      <c r="V425" s="125">
        <f t="shared" si="162"/>
        <v>17.454917609643999</v>
      </c>
    </row>
    <row r="426" spans="2:22">
      <c r="B426"/>
      <c r="I426" s="59">
        <v>0.06</v>
      </c>
      <c r="J426" s="151">
        <v>-25.587253099215204</v>
      </c>
      <c r="K426" s="151">
        <v>31.192988172241243</v>
      </c>
      <c r="L426" s="151">
        <v>1.6014202990276971</v>
      </c>
      <c r="M426" s="151">
        <v>9.7437543737177421</v>
      </c>
      <c r="N426" s="151">
        <v>23.050654097551163</v>
      </c>
      <c r="O426" s="151">
        <v>9.2317802979169468</v>
      </c>
      <c r="P426" s="151">
        <v>1.3288332982123052</v>
      </c>
      <c r="Q426" s="151">
        <v>-5.7931988379126462</v>
      </c>
      <c r="R426" s="151">
        <v>16.353812434041899</v>
      </c>
      <c r="S426" s="125">
        <f t="shared" si="159"/>
        <v>32.794408471268937</v>
      </c>
      <c r="T426" s="125">
        <f t="shared" si="160"/>
        <v>32.794408471268909</v>
      </c>
      <c r="U426" s="125">
        <f t="shared" si="161"/>
        <v>10.560613596129253</v>
      </c>
      <c r="V426" s="125">
        <f t="shared" si="162"/>
        <v>10.560613596129253</v>
      </c>
    </row>
    <row r="427" spans="2:22">
      <c r="B427"/>
      <c r="I427" s="59">
        <v>7.0000000000000007E-2</v>
      </c>
      <c r="J427" s="151">
        <v>-25.894511467167931</v>
      </c>
      <c r="K427" s="151">
        <v>31.192988172241222</v>
      </c>
      <c r="L427" s="151">
        <v>1.6014202990276971</v>
      </c>
      <c r="M427" s="151">
        <v>9.7437543737177421</v>
      </c>
      <c r="N427" s="151">
        <v>23.050654097551163</v>
      </c>
      <c r="O427" s="151">
        <v>2.337476284401963</v>
      </c>
      <c r="P427" s="151">
        <v>1.3288332982123052</v>
      </c>
      <c r="Q427" s="151">
        <v>-9.8329742609756288</v>
      </c>
      <c r="R427" s="151">
        <v>13.499283843589897</v>
      </c>
      <c r="S427" s="125">
        <f t="shared" si="159"/>
        <v>32.794408471268916</v>
      </c>
      <c r="T427" s="125">
        <f t="shared" si="160"/>
        <v>32.794408471268909</v>
      </c>
      <c r="U427" s="125">
        <f t="shared" si="161"/>
        <v>3.666309582614268</v>
      </c>
      <c r="V427" s="125">
        <f t="shared" si="162"/>
        <v>3.666309582614268</v>
      </c>
    </row>
    <row r="428" spans="2:22">
      <c r="B428"/>
      <c r="I428" s="59">
        <v>0.08</v>
      </c>
      <c r="J428" s="151">
        <v>-26.201769835120544</v>
      </c>
      <c r="K428" s="151">
        <v>31.192988172241265</v>
      </c>
      <c r="L428" s="151">
        <v>1.6014202990276971</v>
      </c>
      <c r="M428" s="151">
        <v>9.7437543737177421</v>
      </c>
      <c r="N428" s="151">
        <v>23.050654097551163</v>
      </c>
      <c r="O428" s="151">
        <v>-4.5568277291127748</v>
      </c>
      <c r="P428" s="151">
        <v>1.3288332982123052</v>
      </c>
      <c r="Q428" s="151">
        <v>-13.87274968403846</v>
      </c>
      <c r="R428" s="151">
        <v>10.644755253137991</v>
      </c>
      <c r="S428" s="125">
        <f t="shared" si="159"/>
        <v>32.794408471268959</v>
      </c>
      <c r="T428" s="125">
        <f t="shared" si="160"/>
        <v>32.794408471268909</v>
      </c>
      <c r="U428" s="125">
        <f t="shared" si="161"/>
        <v>-3.2279944309004698</v>
      </c>
      <c r="V428" s="125">
        <f t="shared" si="162"/>
        <v>-3.2279944309004698</v>
      </c>
    </row>
    <row r="429" spans="2:22">
      <c r="B429"/>
      <c r="I429" s="59">
        <v>0.09</v>
      </c>
      <c r="J429" s="151">
        <v>-26.509028203073044</v>
      </c>
      <c r="K429" s="151">
        <v>31.192988172241272</v>
      </c>
      <c r="L429" s="151">
        <v>1.6014202990276971</v>
      </c>
      <c r="M429" s="151">
        <v>9.7437543737177421</v>
      </c>
      <c r="N429" s="151">
        <v>23.050654097551163</v>
      </c>
      <c r="O429" s="151">
        <v>-11.451131742627524</v>
      </c>
      <c r="P429" s="151">
        <v>1.3288332982123052</v>
      </c>
      <c r="Q429" s="151">
        <v>-17.912525107101295</v>
      </c>
      <c r="R429" s="151">
        <v>7.7902266626860772</v>
      </c>
      <c r="S429" s="125">
        <f t="shared" si="159"/>
        <v>32.794408471268966</v>
      </c>
      <c r="T429" s="125">
        <f t="shared" si="160"/>
        <v>32.794408471268909</v>
      </c>
      <c r="U429" s="125">
        <f t="shared" si="161"/>
        <v>-10.122298444415218</v>
      </c>
      <c r="V429" s="125">
        <f t="shared" si="162"/>
        <v>-10.122298444415218</v>
      </c>
    </row>
    <row r="430" spans="2:22">
      <c r="B430"/>
      <c r="I430" s="59">
        <v>0.1</v>
      </c>
      <c r="J430" s="151">
        <v>-26.816286571025771</v>
      </c>
      <c r="K430" s="151">
        <v>31.192988172241165</v>
      </c>
      <c r="L430" s="151">
        <v>1.6014202990276971</v>
      </c>
      <c r="M430" s="151">
        <v>9.7437543737177421</v>
      </c>
      <c r="N430" s="151">
        <v>23.050654097551163</v>
      </c>
      <c r="O430" s="151">
        <v>-18.345435756142386</v>
      </c>
      <c r="P430" s="151">
        <v>1.3288332982123052</v>
      </c>
      <c r="Q430" s="151">
        <v>-21.952300530164202</v>
      </c>
      <c r="R430" s="151">
        <v>4.9356980722341213</v>
      </c>
      <c r="S430" s="125">
        <f t="shared" si="159"/>
        <v>32.794408471268859</v>
      </c>
      <c r="T430" s="125">
        <f t="shared" si="160"/>
        <v>32.794408471268909</v>
      </c>
      <c r="U430" s="125">
        <f t="shared" si="161"/>
        <v>-17.01660245793008</v>
      </c>
      <c r="V430" s="125">
        <f t="shared" si="162"/>
        <v>-17.01660245793008</v>
      </c>
    </row>
    <row r="432" spans="2:22">
      <c r="B432"/>
      <c r="J432" s="114" t="s">
        <v>394</v>
      </c>
    </row>
    <row r="433" spans="2:20">
      <c r="B433"/>
      <c r="I433" s="151">
        <f>+O419</f>
        <v>14.747223508728769</v>
      </c>
      <c r="J433" s="59">
        <v>0</v>
      </c>
      <c r="K433" s="59">
        <v>0.01</v>
      </c>
      <c r="L433" s="59">
        <v>0.02</v>
      </c>
      <c r="M433" s="59">
        <v>0.03</v>
      </c>
      <c r="N433" s="59">
        <v>0.04</v>
      </c>
      <c r="O433" s="59">
        <v>0.05</v>
      </c>
      <c r="P433" s="59">
        <v>0.06</v>
      </c>
      <c r="Q433" s="59">
        <v>7.0000000000000007E-2</v>
      </c>
      <c r="R433" s="59">
        <v>0.08</v>
      </c>
      <c r="S433" s="59">
        <v>0.09</v>
      </c>
      <c r="T433" s="59">
        <v>0.1</v>
      </c>
    </row>
    <row r="434" spans="2:20">
      <c r="B434"/>
      <c r="I434" s="59">
        <v>0</v>
      </c>
      <c r="J434" s="151">
        <f t="dataTable" ref="J434:T444" dt2D="1" dtr="0" r1="J31" r2="J32"/>
        <v>35.032362730532995</v>
      </c>
      <c r="K434" s="151">
        <v>35.004594125491053</v>
      </c>
      <c r="L434" s="151">
        <v>34.97682552044914</v>
      </c>
      <c r="M434" s="151">
        <v>34.949056915407212</v>
      </c>
      <c r="N434" s="151">
        <v>34.921288310365327</v>
      </c>
      <c r="O434" s="151">
        <v>34.893519705323406</v>
      </c>
      <c r="P434" s="151">
        <v>34.865751100281457</v>
      </c>
      <c r="Q434" s="151">
        <v>34.837982495239565</v>
      </c>
      <c r="R434" s="151">
        <v>34.810213890197574</v>
      </c>
      <c r="S434" s="151">
        <v>34.782445285155688</v>
      </c>
      <c r="T434" s="151">
        <v>34.754676680113732</v>
      </c>
    </row>
    <row r="435" spans="2:20">
      <c r="B435"/>
      <c r="H435" s="114" t="s">
        <v>393</v>
      </c>
      <c r="I435" s="59">
        <v>0.01</v>
      </c>
      <c r="J435" s="151">
        <v>34.871017755456315</v>
      </c>
      <c r="K435" s="151">
        <v>34.843249150414366</v>
      </c>
      <c r="L435" s="151">
        <v>34.815480545372452</v>
      </c>
      <c r="M435" s="151">
        <v>34.787711940330524</v>
      </c>
      <c r="N435" s="151">
        <v>34.759943335288639</v>
      </c>
      <c r="O435" s="151">
        <v>34.732174730246719</v>
      </c>
      <c r="P435" s="151">
        <v>34.70440612520477</v>
      </c>
      <c r="Q435" s="151">
        <v>34.676637520162885</v>
      </c>
      <c r="R435" s="151">
        <v>34.648868915120886</v>
      </c>
      <c r="S435" s="151">
        <v>34.621100310078987</v>
      </c>
      <c r="T435" s="151">
        <v>34.593331705037045</v>
      </c>
    </row>
    <row r="436" spans="2:20">
      <c r="B436"/>
      <c r="I436" s="59">
        <v>0.02</v>
      </c>
      <c r="J436" s="151">
        <v>34.709672780379634</v>
      </c>
      <c r="K436" s="151">
        <v>34.681904175337678</v>
      </c>
      <c r="L436" s="151">
        <v>34.654135570295765</v>
      </c>
      <c r="M436" s="151">
        <v>34.626366965253844</v>
      </c>
      <c r="N436" s="151">
        <v>34.598598360211952</v>
      </c>
      <c r="O436" s="151">
        <v>34.570829755170038</v>
      </c>
      <c r="P436" s="151">
        <v>34.543061150128082</v>
      </c>
      <c r="Q436" s="151">
        <v>34.515292545086197</v>
      </c>
      <c r="R436" s="151">
        <v>34.487523940044198</v>
      </c>
      <c r="S436" s="151">
        <v>34.459755335002306</v>
      </c>
      <c r="T436" s="151">
        <v>29.960090337124729</v>
      </c>
    </row>
    <row r="437" spans="2:20">
      <c r="I437" s="59">
        <v>0.03</v>
      </c>
      <c r="J437" s="151">
        <v>34.548327805302939</v>
      </c>
      <c r="K437" s="151">
        <v>34.52055920026099</v>
      </c>
      <c r="L437" s="151">
        <v>34.492790595219077</v>
      </c>
      <c r="M437" s="151">
        <v>34.465021990177164</v>
      </c>
      <c r="N437" s="151">
        <v>34.437253385135264</v>
      </c>
      <c r="O437" s="151">
        <v>34.409484780093351</v>
      </c>
      <c r="P437" s="151">
        <v>34.381716175051402</v>
      </c>
      <c r="Q437" s="151">
        <v>34.35394757000951</v>
      </c>
      <c r="R437" s="151">
        <v>32.108812614287132</v>
      </c>
      <c r="S437" s="151">
        <v>27.587299468948512</v>
      </c>
      <c r="T437" s="151">
        <v>23.065786323609977</v>
      </c>
    </row>
    <row r="438" spans="2:20">
      <c r="I438" s="59">
        <v>0.04</v>
      </c>
      <c r="J438" s="151">
        <v>34.386982830226252</v>
      </c>
      <c r="K438" s="151">
        <v>34.35921422518431</v>
      </c>
      <c r="L438" s="151">
        <v>34.331445620142389</v>
      </c>
      <c r="M438" s="151">
        <v>34.303677015100469</v>
      </c>
      <c r="N438" s="151">
        <v>34.275908410058584</v>
      </c>
      <c r="O438" s="151">
        <v>34.248139805016663</v>
      </c>
      <c r="P438" s="151">
        <v>34.220371199974721</v>
      </c>
      <c r="Q438" s="151">
        <v>29.736021746110968</v>
      </c>
      <c r="R438" s="151">
        <v>25.214508600772387</v>
      </c>
      <c r="S438" s="151">
        <v>20.692995455433771</v>
      </c>
      <c r="T438" s="151">
        <v>16.171482310095225</v>
      </c>
    </row>
    <row r="439" spans="2:20">
      <c r="I439" s="59">
        <v>0.05</v>
      </c>
      <c r="J439" s="151">
        <v>34.225637855149571</v>
      </c>
      <c r="K439" s="151">
        <v>34.19786925010763</v>
      </c>
      <c r="L439" s="151">
        <v>34.170100645065716</v>
      </c>
      <c r="M439" s="151">
        <v>34.142332040023788</v>
      </c>
      <c r="N439" s="151">
        <v>34.114563434981896</v>
      </c>
      <c r="O439" s="151">
        <v>31.884744023273146</v>
      </c>
      <c r="P439" s="151">
        <v>27.363230877934527</v>
      </c>
      <c r="Q439" s="151">
        <v>22.841717732595995</v>
      </c>
      <c r="R439" s="151">
        <v>18.320204587257525</v>
      </c>
      <c r="S439" s="151">
        <v>13.798691441918917</v>
      </c>
      <c r="T439" s="151">
        <v>9.2771782965803702</v>
      </c>
    </row>
    <row r="440" spans="2:20">
      <c r="I440" s="59">
        <v>0.06</v>
      </c>
      <c r="J440" s="151">
        <v>34.064292880072884</v>
      </c>
      <c r="K440" s="151">
        <v>34.036524275030935</v>
      </c>
      <c r="L440" s="151">
        <v>34.008755669989014</v>
      </c>
      <c r="M440" s="151">
        <v>33.980987064947101</v>
      </c>
      <c r="N440" s="151">
        <v>29.511953155096922</v>
      </c>
      <c r="O440" s="151">
        <v>24.990440009758395</v>
      </c>
      <c r="P440" s="151">
        <v>20.468926864419767</v>
      </c>
      <c r="Q440" s="151">
        <v>15.947413719081243</v>
      </c>
      <c r="R440" s="151">
        <v>11.42590057374265</v>
      </c>
      <c r="S440" s="151">
        <v>6.9043874284041484</v>
      </c>
      <c r="T440" s="151">
        <v>2.3828742830655019</v>
      </c>
    </row>
    <row r="441" spans="2:20">
      <c r="I441" s="59">
        <v>7.0000000000000007E-2</v>
      </c>
      <c r="J441" s="151">
        <v>33.902947904996196</v>
      </c>
      <c r="K441" s="151">
        <v>33.875179299954254</v>
      </c>
      <c r="L441" s="151">
        <v>31.6606754322592</v>
      </c>
      <c r="M441" s="151">
        <v>27.139162286920591</v>
      </c>
      <c r="N441" s="151">
        <v>22.617649141582064</v>
      </c>
      <c r="O441" s="151">
        <v>18.096135996243415</v>
      </c>
      <c r="P441" s="151">
        <v>13.57462285090479</v>
      </c>
      <c r="Q441" s="151">
        <v>9.0531097055662606</v>
      </c>
      <c r="R441" s="151">
        <v>4.5315965602276735</v>
      </c>
      <c r="S441" s="151">
        <v>1.0083414889168862E-2</v>
      </c>
      <c r="T441" s="151">
        <v>-4.5114297304494757</v>
      </c>
    </row>
    <row r="442" spans="2:20">
      <c r="I442" s="59">
        <v>0.08</v>
      </c>
      <c r="J442" s="151">
        <v>33.741602929919516</v>
      </c>
      <c r="K442" s="151">
        <v>29.287884564082955</v>
      </c>
      <c r="L442" s="151">
        <v>24.766371418744583</v>
      </c>
      <c r="M442" s="151">
        <v>20.244858273405963</v>
      </c>
      <c r="N442" s="151">
        <v>15.723345128067319</v>
      </c>
      <c r="O442" s="151">
        <v>11.201831982728786</v>
      </c>
      <c r="P442" s="151">
        <v>6.6803188373901703</v>
      </c>
      <c r="Q442" s="151">
        <v>2.1588056920516303</v>
      </c>
      <c r="R442" s="151">
        <v>-2.3627074532868351</v>
      </c>
      <c r="S442" s="151">
        <v>-6.8842205986255705</v>
      </c>
      <c r="T442" s="151">
        <v>-11.405733743963978</v>
      </c>
    </row>
    <row r="443" spans="2:20">
      <c r="I443" s="59">
        <v>0.09</v>
      </c>
      <c r="J443" s="151">
        <v>26.915093695906826</v>
      </c>
      <c r="K443" s="151">
        <v>22.393580550568206</v>
      </c>
      <c r="L443" s="151">
        <v>17.872067405229831</v>
      </c>
      <c r="M443" s="151">
        <v>13.350554259891089</v>
      </c>
      <c r="N443" s="151">
        <v>8.8290411145525667</v>
      </c>
      <c r="O443" s="151">
        <v>4.3075279692139192</v>
      </c>
      <c r="P443" s="151">
        <v>-0.21398517612470092</v>
      </c>
      <c r="Q443" s="151">
        <v>-4.7354983214631163</v>
      </c>
      <c r="R443" s="151">
        <v>-9.2570114668017141</v>
      </c>
      <c r="S443" s="151">
        <v>-13.778524612140199</v>
      </c>
      <c r="T443" s="151">
        <v>-18.300037757478854</v>
      </c>
    </row>
    <row r="444" spans="2:20">
      <c r="I444" s="59">
        <v>0.1</v>
      </c>
      <c r="J444" s="151">
        <v>20.020789682391857</v>
      </c>
      <c r="K444" s="151">
        <v>15.499276537053348</v>
      </c>
      <c r="L444" s="151">
        <v>10.977763391714852</v>
      </c>
      <c r="M444" s="151">
        <v>6.4562502463762295</v>
      </c>
      <c r="N444" s="151">
        <v>1.9347371010374672</v>
      </c>
      <c r="O444" s="151">
        <v>-2.5867760443009482</v>
      </c>
      <c r="P444" s="151">
        <v>-7.1082891896395664</v>
      </c>
      <c r="Q444" s="151">
        <v>-11.629802334978088</v>
      </c>
      <c r="R444" s="151">
        <v>-16.15131548031669</v>
      </c>
      <c r="S444" s="151">
        <v>-20.672828625655303</v>
      </c>
      <c r="T444" s="151">
        <v>-25.194341770993837</v>
      </c>
    </row>
    <row r="446" spans="2:20">
      <c r="B446" s="121" t="s">
        <v>395</v>
      </c>
    </row>
    <row r="447" spans="2:20">
      <c r="B447" s="121"/>
    </row>
    <row r="448" spans="2:20">
      <c r="B448" s="58" t="str">
        <f>+B351</f>
        <v>Working capital</v>
      </c>
    </row>
    <row r="449" spans="2:14">
      <c r="I449" s="58"/>
      <c r="J449" s="58"/>
      <c r="K449" s="58"/>
      <c r="L449" s="58"/>
      <c r="M449" s="58"/>
      <c r="N449" s="58"/>
    </row>
    <row r="450" spans="2:14">
      <c r="B450" s="58" t="str">
        <f t="shared" ref="B450:B458" si="163">+B353</f>
        <v>Accounts receivable</v>
      </c>
      <c r="I450" s="153">
        <f t="shared" ref="I450:N451" si="164">+I353</f>
        <v>15.465117369524673</v>
      </c>
      <c r="J450" s="153">
        <f t="shared" si="164"/>
        <v>29.009131878009818</v>
      </c>
      <c r="K450" s="153">
        <f t="shared" si="164"/>
        <v>31.242168185197524</v>
      </c>
      <c r="L450" s="153">
        <f t="shared" si="164"/>
        <v>33.48455059400974</v>
      </c>
      <c r="M450" s="153">
        <f t="shared" si="164"/>
        <v>36.236304264915347</v>
      </c>
      <c r="N450" s="153">
        <f t="shared" si="164"/>
        <v>39.214196502145228</v>
      </c>
    </row>
    <row r="451" spans="2:14">
      <c r="B451" s="58" t="str">
        <f t="shared" si="163"/>
        <v>Inventory</v>
      </c>
      <c r="I451" s="153">
        <f t="shared" si="164"/>
        <v>30.262332419423046</v>
      </c>
      <c r="J451" s="153">
        <f t="shared" si="164"/>
        <v>32.926155655999928</v>
      </c>
      <c r="K451" s="153">
        <f t="shared" si="164"/>
        <v>35.29398334238266</v>
      </c>
      <c r="L451" s="153">
        <f t="shared" si="164"/>
        <v>37.649325556037411</v>
      </c>
      <c r="M451" s="153">
        <f t="shared" si="164"/>
        <v>40.551772302073225</v>
      </c>
      <c r="N451" s="153">
        <f t="shared" si="164"/>
        <v>43.677973311675736</v>
      </c>
    </row>
    <row r="452" spans="2:14">
      <c r="I452" s="153"/>
      <c r="J452" s="153"/>
      <c r="K452" s="153"/>
      <c r="L452" s="153"/>
      <c r="M452" s="153"/>
      <c r="N452" s="153"/>
    </row>
    <row r="453" spans="2:14">
      <c r="B453" s="58" t="str">
        <f t="shared" si="163"/>
        <v>Current assets</v>
      </c>
      <c r="I453" s="153">
        <f t="shared" ref="I453:N453" si="165">+I451+I450</f>
        <v>45.727449788947723</v>
      </c>
      <c r="J453" s="153">
        <f t="shared" si="165"/>
        <v>61.935287534009746</v>
      </c>
      <c r="K453" s="153">
        <f t="shared" si="165"/>
        <v>66.536151527580188</v>
      </c>
      <c r="L453" s="153">
        <f t="shared" si="165"/>
        <v>71.133876150047143</v>
      </c>
      <c r="M453" s="153">
        <f t="shared" si="165"/>
        <v>76.788076566988565</v>
      </c>
      <c r="N453" s="153">
        <f t="shared" si="165"/>
        <v>82.892169813820971</v>
      </c>
    </row>
    <row r="454" spans="2:14">
      <c r="B454" s="58">
        <f t="shared" si="163"/>
        <v>0</v>
      </c>
      <c r="I454" s="153"/>
      <c r="J454" s="153"/>
      <c r="K454" s="153"/>
      <c r="L454" s="153"/>
      <c r="M454" s="153"/>
      <c r="N454" s="153"/>
    </row>
    <row r="455" spans="2:14">
      <c r="B455" s="58" t="str">
        <f t="shared" si="163"/>
        <v>Accounts payable</v>
      </c>
      <c r="I455" s="153">
        <f t="shared" ref="I455:N456" si="166">+I358</f>
        <v>28.842835522782821</v>
      </c>
      <c r="J455" s="153">
        <f t="shared" si="166"/>
        <v>37.37467807409206</v>
      </c>
      <c r="K455" s="153">
        <f t="shared" si="166"/>
        <v>40.029359356650161</v>
      </c>
      <c r="L455" s="153">
        <f t="shared" si="166"/>
        <v>42.700716651848268</v>
      </c>
      <c r="M455" s="153">
        <f t="shared" si="166"/>
        <v>46.028925360658604</v>
      </c>
      <c r="N455" s="153">
        <f t="shared" si="166"/>
        <v>49.577368862992387</v>
      </c>
    </row>
    <row r="456" spans="2:14">
      <c r="B456" s="58" t="str">
        <f t="shared" si="163"/>
        <v>Current liabilities</v>
      </c>
      <c r="I456" s="153">
        <f t="shared" si="166"/>
        <v>28.842835522782821</v>
      </c>
      <c r="J456" s="153">
        <f t="shared" si="166"/>
        <v>37.37467807409206</v>
      </c>
      <c r="K456" s="153">
        <f t="shared" si="166"/>
        <v>40.029359356650161</v>
      </c>
      <c r="L456" s="153">
        <f t="shared" si="166"/>
        <v>42.700716651848268</v>
      </c>
      <c r="M456" s="153">
        <f t="shared" si="166"/>
        <v>46.028925360658604</v>
      </c>
      <c r="N456" s="153">
        <f t="shared" si="166"/>
        <v>49.577368862992387</v>
      </c>
    </row>
    <row r="457" spans="2:14" ht="22.5">
      <c r="B457" s="58" t="str">
        <f t="shared" si="163"/>
        <v>Working capital = Current assets - Current liabilities+Short term debt</v>
      </c>
      <c r="I457" s="153">
        <f t="shared" ref="I457:N457" si="167">+I453-I456</f>
        <v>16.884614266164903</v>
      </c>
      <c r="J457" s="153">
        <f t="shared" si="167"/>
        <v>24.560609459917686</v>
      </c>
      <c r="K457" s="153">
        <f t="shared" si="167"/>
        <v>26.506792170930026</v>
      </c>
      <c r="L457" s="153">
        <f t="shared" si="167"/>
        <v>28.433159498198876</v>
      </c>
      <c r="M457" s="153">
        <f t="shared" si="167"/>
        <v>30.75915120632996</v>
      </c>
      <c r="N457" s="153">
        <f t="shared" si="167"/>
        <v>33.314800950828584</v>
      </c>
    </row>
    <row r="458" spans="2:14">
      <c r="B458" s="58" t="str">
        <f t="shared" si="163"/>
        <v>Change in working capital</v>
      </c>
      <c r="I458" s="153"/>
      <c r="J458" s="153">
        <f>+J457-I457</f>
        <v>7.6759951937527831</v>
      </c>
      <c r="K458" s="153">
        <f>+K457-J457</f>
        <v>1.9461827110123409</v>
      </c>
      <c r="L458" s="153">
        <f>+L457-K457</f>
        <v>1.9263673272688493</v>
      </c>
      <c r="M458" s="153">
        <f>+M457-L457</f>
        <v>2.3259917081310846</v>
      </c>
      <c r="N458" s="153">
        <f>+N457-M457</f>
        <v>2.5556497444986235</v>
      </c>
    </row>
    <row r="459" spans="2:14">
      <c r="I459" s="153"/>
      <c r="J459" s="153"/>
      <c r="K459" s="153"/>
      <c r="L459" s="153"/>
      <c r="M459" s="153"/>
      <c r="N459" s="153"/>
    </row>
    <row r="460" spans="2:14">
      <c r="B460" s="154" t="s">
        <v>397</v>
      </c>
      <c r="C460" s="155"/>
      <c r="D460" s="155"/>
      <c r="E460" s="155"/>
      <c r="F460" s="155"/>
      <c r="G460" s="155"/>
      <c r="H460" s="155"/>
      <c r="I460" s="155"/>
      <c r="J460" s="156">
        <f>+J361</f>
        <v>9.5853026506836727</v>
      </c>
      <c r="K460" s="156">
        <f>+K361</f>
        <v>8.4447843113104994</v>
      </c>
      <c r="L460" s="156">
        <f>+L361</f>
        <v>-37.213909261817875</v>
      </c>
      <c r="M460" s="156">
        <f>+M361</f>
        <v>6.9130996670879483</v>
      </c>
      <c r="N460" s="156">
        <f>+N361</f>
        <v>11.154504319123006</v>
      </c>
    </row>
    <row r="461" spans="2:14">
      <c r="B461" s="121"/>
      <c r="J461" s="60"/>
      <c r="K461" s="60"/>
      <c r="L461" s="60"/>
      <c r="M461" s="60"/>
      <c r="N461" s="60"/>
    </row>
    <row r="462" spans="2:14">
      <c r="B462" s="153" t="str">
        <f>+B363</f>
        <v>Tax savings</v>
      </c>
      <c r="C462" s="153"/>
      <c r="D462" s="153"/>
      <c r="E462" s="153"/>
      <c r="F462" s="153"/>
      <c r="G462" s="153"/>
      <c r="H462" s="153"/>
      <c r="I462" s="153"/>
      <c r="J462" s="153">
        <f t="shared" ref="J462:N463" si="168">+J363</f>
        <v>1.8926389052803601</v>
      </c>
      <c r="K462" s="153">
        <f t="shared" si="168"/>
        <v>1.6014202990276971</v>
      </c>
      <c r="L462" s="153">
        <f t="shared" si="168"/>
        <v>1.3288332982123052</v>
      </c>
      <c r="M462" s="153">
        <f t="shared" si="168"/>
        <v>1.5773146476024766</v>
      </c>
      <c r="N462" s="153">
        <f t="shared" si="168"/>
        <v>1.3302850151405039</v>
      </c>
    </row>
    <row r="463" spans="2:14">
      <c r="B463" s="153" t="str">
        <f>+B364</f>
        <v>Investment in assets =NFAt-NFAt-1+Depreciation</v>
      </c>
      <c r="C463" s="153"/>
      <c r="D463" s="153"/>
      <c r="E463" s="153"/>
      <c r="F463" s="153"/>
      <c r="G463" s="153"/>
      <c r="H463" s="153"/>
      <c r="I463" s="153"/>
      <c r="J463" s="153">
        <f t="shared" si="168"/>
        <v>14.076317397470037</v>
      </c>
      <c r="K463" s="153">
        <f t="shared" si="168"/>
        <v>17.595396746837537</v>
      </c>
      <c r="L463" s="153">
        <f t="shared" si="168"/>
        <v>87.948903950634531</v>
      </c>
      <c r="M463" s="153">
        <f t="shared" si="168"/>
        <v>29.905154523735533</v>
      </c>
      <c r="N463" s="153">
        <f t="shared" si="168"/>
        <v>37.381443154669398</v>
      </c>
    </row>
    <row r="464" spans="2:14">
      <c r="B464" s="153">
        <f>+B365</f>
        <v>0</v>
      </c>
      <c r="C464" s="153"/>
      <c r="D464" s="153"/>
      <c r="E464" s="153"/>
      <c r="F464" s="153"/>
      <c r="G464" s="153"/>
      <c r="H464" s="153"/>
      <c r="I464" s="153"/>
      <c r="J464" s="153">
        <f>+J365</f>
        <v>0</v>
      </c>
      <c r="K464" s="153"/>
      <c r="L464" s="153"/>
      <c r="M464" s="153"/>
      <c r="N464" s="153"/>
    </row>
    <row r="465" spans="2:14">
      <c r="B465" s="153" t="str">
        <f>+B366</f>
        <v>Net Income</v>
      </c>
      <c r="C465" s="153"/>
      <c r="D465" s="153"/>
      <c r="E465" s="153"/>
      <c r="F465" s="153"/>
      <c r="G465" s="153"/>
      <c r="H465" s="153"/>
      <c r="I465" s="153"/>
      <c r="J465" s="153">
        <f>+J366</f>
        <v>32.10750869134958</v>
      </c>
      <c r="K465" s="153">
        <f t="shared" ref="K465:N466" si="169">+K366</f>
        <v>36.663706213928805</v>
      </c>
      <c r="L465" s="153">
        <f t="shared" si="169"/>
        <v>41.020138995889951</v>
      </c>
      <c r="M465" s="153">
        <f t="shared" si="169"/>
        <v>42.683217137322373</v>
      </c>
      <c r="N465" s="153">
        <f t="shared" si="169"/>
        <v>48.118580478082649</v>
      </c>
    </row>
    <row r="466" spans="2:14">
      <c r="B466" s="153" t="str">
        <f>+B367</f>
        <v>Plus depreciation</v>
      </c>
      <c r="C466" s="153"/>
      <c r="D466" s="153"/>
      <c r="E466" s="153"/>
      <c r="F466" s="153"/>
      <c r="G466" s="153"/>
      <c r="H466" s="153"/>
      <c r="I466" s="153"/>
      <c r="J466" s="153">
        <f>+J367</f>
        <v>14.07631739747003</v>
      </c>
      <c r="K466" s="153">
        <f t="shared" si="169"/>
        <v>17.595396746837537</v>
      </c>
      <c r="L466" s="153">
        <f t="shared" si="169"/>
        <v>21.994245933546921</v>
      </c>
      <c r="M466" s="153">
        <f t="shared" si="169"/>
        <v>29.905154523735519</v>
      </c>
      <c r="N466" s="153">
        <f t="shared" si="169"/>
        <v>37.381443154669398</v>
      </c>
    </row>
    <row r="467" spans="2:14">
      <c r="B467" s="153" t="str">
        <f>+B370</f>
        <v>Minus change in working capial</v>
      </c>
      <c r="C467" s="153"/>
      <c r="D467" s="153"/>
      <c r="E467" s="153"/>
      <c r="F467" s="153"/>
      <c r="G467" s="153"/>
      <c r="H467" s="153"/>
      <c r="I467" s="153"/>
      <c r="J467" s="153">
        <f>-J458</f>
        <v>-7.6759951937527831</v>
      </c>
      <c r="K467" s="153">
        <f>-K458</f>
        <v>-1.9461827110123409</v>
      </c>
      <c r="L467" s="153">
        <f>-L458</f>
        <v>-1.9263673272688493</v>
      </c>
      <c r="M467" s="153">
        <f>-M458</f>
        <v>-2.3259917081310846</v>
      </c>
      <c r="N467" s="153">
        <f>-N458</f>
        <v>-2.5556497444986235</v>
      </c>
    </row>
    <row r="468" spans="2:14">
      <c r="B468" s="153" t="str">
        <f>+B371</f>
        <v>Minus Investments in operating assets</v>
      </c>
      <c r="C468" s="153"/>
      <c r="D468" s="153"/>
      <c r="E468" s="153"/>
      <c r="F468" s="153"/>
      <c r="G468" s="153"/>
      <c r="H468" s="153"/>
      <c r="I468" s="153"/>
      <c r="J468" s="153">
        <f>+J371</f>
        <v>-14.076317397470037</v>
      </c>
      <c r="K468" s="153">
        <f>+K371</f>
        <v>-17.595396746837537</v>
      </c>
      <c r="L468" s="153">
        <f>+L371</f>
        <v>-87.948903950634531</v>
      </c>
      <c r="M468" s="153">
        <f>+M371</f>
        <v>-29.905154523735533</v>
      </c>
      <c r="N468" s="153">
        <f>+N371</f>
        <v>-37.381443154669398</v>
      </c>
    </row>
    <row r="469" spans="2:14">
      <c r="B469" s="153" t="str">
        <f>+B372</f>
        <v>FCF</v>
      </c>
      <c r="C469" s="153"/>
      <c r="D469" s="153"/>
      <c r="E469" s="153"/>
      <c r="F469" s="153"/>
      <c r="G469" s="153"/>
      <c r="H469" s="153"/>
      <c r="I469" s="153"/>
      <c r="J469" s="153">
        <f>SUM(J465:J468)</f>
        <v>24.431513497596789</v>
      </c>
      <c r="K469" s="153">
        <f>SUM(K465:K468)</f>
        <v>34.717523502916464</v>
      </c>
      <c r="L469" s="153">
        <f>SUM(L465:L468)</f>
        <v>-26.860886348466508</v>
      </c>
      <c r="M469" s="153">
        <f>SUM(M465:M468)</f>
        <v>40.357225429191274</v>
      </c>
      <c r="N469" s="153">
        <f>SUM(N465:N468)</f>
        <v>45.562930733584025</v>
      </c>
    </row>
    <row r="470" spans="2:14">
      <c r="B470" s="154" t="s">
        <v>396</v>
      </c>
      <c r="C470" s="155"/>
      <c r="D470" s="155"/>
      <c r="E470" s="155"/>
      <c r="F470" s="155"/>
      <c r="G470" s="155"/>
      <c r="H470" s="155"/>
      <c r="I470" s="155"/>
      <c r="J470" s="156">
        <f>+J373</f>
        <v>26.037106864758005</v>
      </c>
      <c r="K470" s="156">
        <f>+K373</f>
        <v>31.192988172241211</v>
      </c>
      <c r="L470" s="156">
        <f>+L373</f>
        <v>14.747223508728769</v>
      </c>
      <c r="M470" s="156">
        <f>+M373</f>
        <v>38.699416101496254</v>
      </c>
      <c r="N470" s="156">
        <f>+N373</f>
        <v>39.434605472792086</v>
      </c>
    </row>
    <row r="471" spans="2:14">
      <c r="B471" s="153">
        <f t="shared" ref="B471:B477" si="170">+B374</f>
        <v>0</v>
      </c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</row>
    <row r="472" spans="2:14">
      <c r="B472" s="153" t="str">
        <f t="shared" si="170"/>
        <v>Net Income</v>
      </c>
      <c r="C472" s="153"/>
      <c r="D472" s="153"/>
      <c r="E472" s="153"/>
      <c r="F472" s="153"/>
      <c r="G472" s="153"/>
      <c r="H472" s="153"/>
      <c r="I472" s="153"/>
      <c r="J472" s="153">
        <f t="shared" ref="J472:N473" si="171">+J375</f>
        <v>32.10750869134958</v>
      </c>
      <c r="K472" s="153">
        <f t="shared" si="171"/>
        <v>36.663706213928805</v>
      </c>
      <c r="L472" s="153">
        <f t="shared" si="171"/>
        <v>41.020138995889951</v>
      </c>
      <c r="M472" s="153">
        <f t="shared" si="171"/>
        <v>42.683217137322373</v>
      </c>
      <c r="N472" s="153">
        <f t="shared" si="171"/>
        <v>48.118580478082649</v>
      </c>
    </row>
    <row r="473" spans="2:14">
      <c r="B473" s="153" t="str">
        <f t="shared" si="170"/>
        <v>Plus depreciation</v>
      </c>
      <c r="C473" s="153"/>
      <c r="D473" s="153"/>
      <c r="E473" s="153"/>
      <c r="F473" s="153"/>
      <c r="G473" s="153"/>
      <c r="H473" s="153"/>
      <c r="I473" s="153"/>
      <c r="J473" s="153">
        <f t="shared" si="171"/>
        <v>14.07631739747003</v>
      </c>
      <c r="K473" s="153">
        <f t="shared" si="171"/>
        <v>17.595396746837537</v>
      </c>
      <c r="L473" s="153">
        <f t="shared" si="171"/>
        <v>21.994245933546921</v>
      </c>
      <c r="M473" s="153">
        <f t="shared" si="171"/>
        <v>29.905154523735519</v>
      </c>
      <c r="N473" s="153">
        <f t="shared" si="171"/>
        <v>37.381443154669398</v>
      </c>
    </row>
    <row r="474" spans="2:14">
      <c r="B474" s="153" t="str">
        <f t="shared" si="170"/>
        <v>Minus change in working capial</v>
      </c>
      <c r="C474" s="153"/>
      <c r="D474" s="153"/>
      <c r="E474" s="153"/>
      <c r="F474" s="153"/>
      <c r="G474" s="153"/>
      <c r="H474" s="153"/>
      <c r="I474" s="153"/>
      <c r="J474" s="153">
        <f>-J458</f>
        <v>-7.6759951937527831</v>
      </c>
      <c r="K474" s="153">
        <f>-K458</f>
        <v>-1.9461827110123409</v>
      </c>
      <c r="L474" s="153">
        <f>-L458</f>
        <v>-1.9263673272688493</v>
      </c>
      <c r="M474" s="153">
        <f>-M458</f>
        <v>-2.3259917081310846</v>
      </c>
      <c r="N474" s="153">
        <f>-N458</f>
        <v>-2.5556497444986235</v>
      </c>
    </row>
    <row r="475" spans="2:14">
      <c r="B475" s="153" t="str">
        <f t="shared" si="170"/>
        <v>Minus Principal payments</v>
      </c>
      <c r="C475" s="153"/>
      <c r="D475" s="153"/>
      <c r="E475" s="153"/>
      <c r="F475" s="153"/>
      <c r="G475" s="153"/>
      <c r="H475" s="153"/>
      <c r="I475" s="153"/>
      <c r="J475" s="153">
        <f t="shared" ref="J475:N476" si="172">+J378</f>
        <v>-5.1682678050671811</v>
      </c>
      <c r="K475" s="153">
        <f t="shared" si="172"/>
        <v>-5.2862467573972722</v>
      </c>
      <c r="L475" s="153">
        <f t="shared" si="172"/>
        <v>6.3580450657832444</v>
      </c>
      <c r="M475" s="153">
        <f t="shared" si="172"/>
        <v>-6.3208990921522172</v>
      </c>
      <c r="N475" s="153">
        <f t="shared" si="172"/>
        <v>-6.3208990921522243</v>
      </c>
    </row>
    <row r="476" spans="2:14">
      <c r="B476" s="153" t="str">
        <f t="shared" si="170"/>
        <v>Minus Investments in operating assets</v>
      </c>
      <c r="C476" s="153"/>
      <c r="D476" s="153"/>
      <c r="E476" s="153"/>
      <c r="F476" s="153"/>
      <c r="G476" s="153"/>
      <c r="H476" s="153"/>
      <c r="I476" s="153"/>
      <c r="J476" s="153">
        <f t="shared" si="172"/>
        <v>-14.076317397470037</v>
      </c>
      <c r="K476" s="153">
        <f t="shared" si="172"/>
        <v>-17.595396746837537</v>
      </c>
      <c r="L476" s="153">
        <f t="shared" si="172"/>
        <v>-87.948903950634531</v>
      </c>
      <c r="M476" s="153">
        <f t="shared" si="172"/>
        <v>-29.905154523735533</v>
      </c>
      <c r="N476" s="153">
        <f t="shared" si="172"/>
        <v>-37.381443154669398</v>
      </c>
    </row>
    <row r="477" spans="2:14">
      <c r="B477" s="153" t="str">
        <f t="shared" si="170"/>
        <v>CFE</v>
      </c>
      <c r="C477" s="153"/>
      <c r="D477" s="153"/>
      <c r="E477" s="153"/>
      <c r="F477" s="153"/>
      <c r="G477" s="153"/>
      <c r="H477" s="153"/>
      <c r="I477" s="153"/>
      <c r="J477" s="153">
        <f>SUM(J472:J476)</f>
        <v>19.263245692529608</v>
      </c>
      <c r="K477" s="153">
        <f>SUM(K472:K476)</f>
        <v>29.431276745519192</v>
      </c>
      <c r="L477" s="153">
        <f>SUM(L472:L476)</f>
        <v>-20.502841282683264</v>
      </c>
      <c r="M477" s="153">
        <f>SUM(M472:M476)</f>
        <v>34.036326337039057</v>
      </c>
      <c r="N477" s="153">
        <f>SUM(N472:N476)</f>
        <v>39.242031641431794</v>
      </c>
    </row>
    <row r="479" spans="2:14">
      <c r="B479" s="121" t="s">
        <v>390</v>
      </c>
      <c r="J479" s="125">
        <f>+J469+J462</f>
        <v>26.32415240287715</v>
      </c>
      <c r="K479" s="125">
        <f>+K469+K462</f>
        <v>36.318943801944158</v>
      </c>
      <c r="L479" s="125">
        <f>+L469+L462</f>
        <v>-25.532053050254202</v>
      </c>
      <c r="M479" s="125">
        <f>+M469+M462</f>
        <v>41.934540076793752</v>
      </c>
      <c r="N479" s="125">
        <f>+N469+N462</f>
        <v>46.893215748724529</v>
      </c>
    </row>
    <row r="480" spans="2:14">
      <c r="B480" s="121" t="s">
        <v>398</v>
      </c>
      <c r="J480" s="125">
        <f>+J477+J339</f>
        <v>30.025905787154787</v>
      </c>
      <c r="K480" s="125">
        <f>+K477+K339</f>
        <v>39.175031119236934</v>
      </c>
      <c r="L480" s="125">
        <f>+L477+L339</f>
        <v>-23.064219782145628</v>
      </c>
      <c r="M480" s="125">
        <f>+M477+M339</f>
        <v>44.863838708055496</v>
      </c>
      <c r="N480" s="125">
        <f>+N477+N339</f>
        <v>49.36374506255688</v>
      </c>
    </row>
    <row r="481" spans="2:14">
      <c r="B481" s="121"/>
      <c r="J481" s="125">
        <f>+J480-J479</f>
        <v>3.7017533842776373</v>
      </c>
      <c r="K481" s="125">
        <f>+K480-K479</f>
        <v>2.8560873172927757</v>
      </c>
      <c r="L481" s="125">
        <f>+L480-L479</f>
        <v>2.4678332681085742</v>
      </c>
      <c r="M481" s="125">
        <f>+M480-M479</f>
        <v>2.9292986312617444</v>
      </c>
      <c r="N481" s="125">
        <f>+N480-N479</f>
        <v>2.4705293138323512</v>
      </c>
    </row>
    <row r="482" spans="2:14">
      <c r="B482" s="121" t="s">
        <v>404</v>
      </c>
      <c r="J482" s="125"/>
      <c r="K482" s="125"/>
      <c r="L482" s="125"/>
      <c r="M482" s="125"/>
      <c r="N482" s="125"/>
    </row>
    <row r="483" spans="2:14">
      <c r="B483" s="121" t="s">
        <v>399</v>
      </c>
      <c r="J483" s="125">
        <f>+J399</f>
        <v>2.0577672236937659</v>
      </c>
      <c r="K483" s="125">
        <f>+K399</f>
        <v>2.1383767835987513</v>
      </c>
      <c r="L483" s="125">
        <f>+L399</f>
        <v>2.2772266227075182</v>
      </c>
      <c r="M483" s="125">
        <f>+M399</f>
        <v>0</v>
      </c>
      <c r="N483" s="125">
        <f>+N399</f>
        <v>0.1956560022611897</v>
      </c>
    </row>
    <row r="484" spans="2:14">
      <c r="B484" s="121" t="s">
        <v>400</v>
      </c>
      <c r="J484" s="125">
        <f>-J483*J8</f>
        <v>-0.72021852829281796</v>
      </c>
      <c r="K484" s="125">
        <f>-K483*K8</f>
        <v>-0.74843187425956292</v>
      </c>
      <c r="L484" s="125">
        <f>-L483*L8</f>
        <v>-0.79702931794763132</v>
      </c>
      <c r="M484" s="125">
        <f>-M483*M8</f>
        <v>0</v>
      </c>
      <c r="N484" s="125">
        <f>-N483*N8</f>
        <v>-6.8479600791416392E-2</v>
      </c>
    </row>
    <row r="485" spans="2:14">
      <c r="B485" s="121" t="s">
        <v>401</v>
      </c>
      <c r="J485" s="125">
        <f>+J484+J483</f>
        <v>1.3375486954009479</v>
      </c>
      <c r="K485" s="125">
        <f>+K484+K483</f>
        <v>1.3899449093391882</v>
      </c>
      <c r="L485" s="125">
        <f>+L484+L483</f>
        <v>1.4801973047598869</v>
      </c>
      <c r="M485" s="125">
        <f>+M484+M483</f>
        <v>0</v>
      </c>
      <c r="N485" s="125">
        <f>+N484+N483</f>
        <v>0.12717640146977333</v>
      </c>
    </row>
    <row r="486" spans="2:14">
      <c r="B486" s="121" t="s">
        <v>402</v>
      </c>
      <c r="J486" s="125">
        <f>+J204-I204</f>
        <v>-1.9385533479791945</v>
      </c>
      <c r="K486" s="125">
        <f>+K204-J204</f>
        <v>0.92845412970069674</v>
      </c>
      <c r="L486" s="125">
        <f>+L204-K204</f>
        <v>0.93234006143494952</v>
      </c>
      <c r="M486" s="125">
        <f>+M204-L204</f>
        <v>1.1441269680424284</v>
      </c>
      <c r="N486" s="125">
        <f>+N204-M204</f>
        <v>1.2381510934507673</v>
      </c>
    </row>
    <row r="487" spans="2:14">
      <c r="B487" s="121" t="s">
        <v>403</v>
      </c>
      <c r="J487" s="60">
        <f>+J207-I207</f>
        <v>3.8478608049100842</v>
      </c>
    </row>
    <row r="488" spans="2:14">
      <c r="B488" s="121"/>
      <c r="J488" s="60"/>
    </row>
    <row r="489" spans="2:14">
      <c r="B489" s="121"/>
      <c r="J489" s="60"/>
    </row>
    <row r="490" spans="2:14">
      <c r="B490" s="121"/>
      <c r="J490" s="60"/>
    </row>
    <row r="491" spans="2:14">
      <c r="B491" s="153" t="str">
        <f>+B383</f>
        <v>EBIT</v>
      </c>
      <c r="C491" s="153">
        <f t="shared" ref="C491:N491" si="173">+C383</f>
        <v>0</v>
      </c>
      <c r="D491" s="153">
        <f t="shared" si="173"/>
        <v>0</v>
      </c>
      <c r="E491" s="153">
        <f t="shared" si="173"/>
        <v>0</v>
      </c>
      <c r="F491" s="153">
        <f t="shared" si="173"/>
        <v>0</v>
      </c>
      <c r="G491" s="153">
        <f t="shared" si="173"/>
        <v>0</v>
      </c>
      <c r="H491" s="153">
        <f t="shared" si="173"/>
        <v>0</v>
      </c>
      <c r="I491" s="153">
        <f t="shared" si="173"/>
        <v>0</v>
      </c>
      <c r="J491" s="153">
        <f t="shared" si="173"/>
        <v>52.745939723139578</v>
      </c>
      <c r="K491" s="153">
        <f t="shared" si="173"/>
        <v>58.842811652634587</v>
      </c>
      <c r="L491" s="153">
        <f t="shared" si="173"/>
        <v>64.62734609113636</v>
      </c>
      <c r="M491" s="153">
        <f t="shared" si="173"/>
        <v>70.173101182437108</v>
      </c>
      <c r="N491" s="153">
        <f t="shared" si="173"/>
        <v>77.633743677608052</v>
      </c>
    </row>
    <row r="492" spans="2:14">
      <c r="B492" s="153" t="str">
        <f>+B384</f>
        <v>Minus tax on EBIT</v>
      </c>
      <c r="C492" s="153">
        <f t="shared" ref="C492:N492" si="174">+C384</f>
        <v>0</v>
      </c>
      <c r="D492" s="153">
        <f t="shared" si="174"/>
        <v>0</v>
      </c>
      <c r="E492" s="153">
        <f t="shared" si="174"/>
        <v>0</v>
      </c>
      <c r="F492" s="153">
        <f t="shared" si="174"/>
        <v>0</v>
      </c>
      <c r="G492" s="153">
        <f t="shared" si="174"/>
        <v>0</v>
      </c>
      <c r="H492" s="153">
        <f t="shared" si="174"/>
        <v>0</v>
      </c>
      <c r="I492" s="153">
        <f t="shared" si="174"/>
        <v>0</v>
      </c>
      <c r="J492" s="153">
        <f t="shared" si="174"/>
        <v>-18.461078903098851</v>
      </c>
      <c r="K492" s="153">
        <f t="shared" si="174"/>
        <v>-20.594984078422105</v>
      </c>
      <c r="L492" s="153">
        <f t="shared" si="174"/>
        <v>-22.619571131897725</v>
      </c>
      <c r="M492" s="153">
        <f t="shared" si="174"/>
        <v>-24.560585413852987</v>
      </c>
      <c r="N492" s="153">
        <f t="shared" si="174"/>
        <v>-27.171810287162817</v>
      </c>
    </row>
    <row r="493" spans="2:14">
      <c r="B493" s="153" t="str">
        <f>+B385</f>
        <v>Plus depreciation</v>
      </c>
      <c r="C493" s="153">
        <f t="shared" ref="C493:N493" si="175">+C385</f>
        <v>0</v>
      </c>
      <c r="D493" s="153">
        <f t="shared" si="175"/>
        <v>0</v>
      </c>
      <c r="E493" s="153">
        <f t="shared" si="175"/>
        <v>0</v>
      </c>
      <c r="F493" s="153">
        <f t="shared" si="175"/>
        <v>0</v>
      </c>
      <c r="G493" s="153">
        <f t="shared" si="175"/>
        <v>0</v>
      </c>
      <c r="H493" s="153">
        <f t="shared" si="175"/>
        <v>0</v>
      </c>
      <c r="I493" s="153">
        <f t="shared" si="175"/>
        <v>0</v>
      </c>
      <c r="J493" s="153">
        <f t="shared" si="175"/>
        <v>14.07631739747003</v>
      </c>
      <c r="K493" s="153">
        <f t="shared" si="175"/>
        <v>17.595396746837537</v>
      </c>
      <c r="L493" s="153">
        <f t="shared" si="175"/>
        <v>21.994245933546921</v>
      </c>
      <c r="M493" s="153">
        <f t="shared" si="175"/>
        <v>29.905154523735519</v>
      </c>
      <c r="N493" s="153">
        <f t="shared" si="175"/>
        <v>37.381443154669398</v>
      </c>
    </row>
    <row r="494" spans="2:14">
      <c r="B494" s="153" t="str">
        <f t="shared" ref="B494:I494" si="176">+B388</f>
        <v>Minus change in working capial</v>
      </c>
      <c r="C494" s="153">
        <f t="shared" si="176"/>
        <v>0</v>
      </c>
      <c r="D494" s="153">
        <f t="shared" si="176"/>
        <v>0</v>
      </c>
      <c r="E494" s="153">
        <f t="shared" si="176"/>
        <v>0</v>
      </c>
      <c r="F494" s="153">
        <f t="shared" si="176"/>
        <v>0</v>
      </c>
      <c r="G494" s="153">
        <f t="shared" si="176"/>
        <v>0</v>
      </c>
      <c r="H494" s="153">
        <f t="shared" si="176"/>
        <v>0</v>
      </c>
      <c r="I494" s="153">
        <f t="shared" si="176"/>
        <v>0</v>
      </c>
      <c r="J494" s="153">
        <f>-J458</f>
        <v>-7.6759951937527831</v>
      </c>
      <c r="K494" s="153">
        <f>-K458</f>
        <v>-1.9461827110123409</v>
      </c>
      <c r="L494" s="153">
        <f>-L458</f>
        <v>-1.9263673272688493</v>
      </c>
      <c r="M494" s="153">
        <f>-M458</f>
        <v>-2.3259917081310846</v>
      </c>
      <c r="N494" s="153">
        <f>-N458</f>
        <v>-2.5556497444986235</v>
      </c>
    </row>
    <row r="495" spans="2:14">
      <c r="B495" s="153" t="str">
        <f>+B389</f>
        <v>Minus Investments in operating assets</v>
      </c>
      <c r="C495" s="153">
        <f t="shared" ref="C495:N495" si="177">+C389</f>
        <v>0</v>
      </c>
      <c r="D495" s="153">
        <f t="shared" si="177"/>
        <v>0</v>
      </c>
      <c r="E495" s="153">
        <f t="shared" si="177"/>
        <v>0</v>
      </c>
      <c r="F495" s="153">
        <f t="shared" si="177"/>
        <v>0</v>
      </c>
      <c r="G495" s="153">
        <f t="shared" si="177"/>
        <v>0</v>
      </c>
      <c r="H495" s="153">
        <f t="shared" si="177"/>
        <v>0</v>
      </c>
      <c r="I495" s="153">
        <f t="shared" si="177"/>
        <v>0</v>
      </c>
      <c r="J495" s="153">
        <f t="shared" si="177"/>
        <v>-14.076317397470037</v>
      </c>
      <c r="K495" s="153">
        <f t="shared" si="177"/>
        <v>-17.595396746837537</v>
      </c>
      <c r="L495" s="153">
        <f t="shared" si="177"/>
        <v>-87.948903950634531</v>
      </c>
      <c r="M495" s="153">
        <f t="shared" si="177"/>
        <v>-29.905154523735533</v>
      </c>
      <c r="N495" s="153">
        <f t="shared" si="177"/>
        <v>-37.381443154669398</v>
      </c>
    </row>
    <row r="496" spans="2:14">
      <c r="B496" s="153" t="str">
        <f>+B390</f>
        <v>FCF</v>
      </c>
      <c r="C496" s="153">
        <f t="shared" ref="C496:I496" si="178">+C390</f>
        <v>0</v>
      </c>
      <c r="D496" s="153">
        <f t="shared" si="178"/>
        <v>0</v>
      </c>
      <c r="E496" s="153">
        <f t="shared" si="178"/>
        <v>0</v>
      </c>
      <c r="F496" s="153">
        <f t="shared" si="178"/>
        <v>0</v>
      </c>
      <c r="G496" s="153">
        <f t="shared" si="178"/>
        <v>0</v>
      </c>
      <c r="H496" s="153">
        <f t="shared" si="178"/>
        <v>0</v>
      </c>
      <c r="I496" s="153">
        <f t="shared" si="178"/>
        <v>0</v>
      </c>
      <c r="J496" s="153">
        <f>SUM(J491:J495)</f>
        <v>26.608865626287937</v>
      </c>
      <c r="K496" s="153">
        <f>SUM(K491:K495)</f>
        <v>36.301644863200139</v>
      </c>
      <c r="L496" s="153">
        <f>SUM(L491:L495)</f>
        <v>-25.873250385117828</v>
      </c>
      <c r="M496" s="153">
        <f>SUM(M491:M495)</f>
        <v>43.286524060453019</v>
      </c>
      <c r="N496" s="153">
        <f>SUM(N491:N495)</f>
        <v>47.906283645946615</v>
      </c>
    </row>
    <row r="497" spans="2:14">
      <c r="B497" s="157" t="str">
        <f>+B470</f>
        <v>FCF with full WC</v>
      </c>
      <c r="C497" s="153"/>
      <c r="D497" s="153"/>
      <c r="E497" s="153"/>
      <c r="F497" s="153"/>
      <c r="G497" s="153"/>
      <c r="H497" s="153"/>
      <c r="I497" s="153"/>
      <c r="J497" s="157">
        <f>+J470</f>
        <v>26.037106864758005</v>
      </c>
      <c r="K497" s="157">
        <f>+K470</f>
        <v>31.192988172241211</v>
      </c>
      <c r="L497" s="157">
        <f>+L470</f>
        <v>14.747223508728769</v>
      </c>
      <c r="M497" s="157">
        <f>+M470</f>
        <v>38.699416101496254</v>
      </c>
      <c r="N497" s="157">
        <f>+N470</f>
        <v>39.434605472792086</v>
      </c>
    </row>
    <row r="498" spans="2:14"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</row>
    <row r="499" spans="2:14">
      <c r="B499" s="153" t="str">
        <f t="shared" ref="B499:N499" si="179">+B393</f>
        <v>EBIT</v>
      </c>
      <c r="C499" s="153">
        <f t="shared" si="179"/>
        <v>0</v>
      </c>
      <c r="D499" s="153">
        <f t="shared" si="179"/>
        <v>0</v>
      </c>
      <c r="E499" s="153">
        <f t="shared" si="179"/>
        <v>0</v>
      </c>
      <c r="F499" s="153">
        <f t="shared" si="179"/>
        <v>0</v>
      </c>
      <c r="G499" s="153">
        <f t="shared" si="179"/>
        <v>0</v>
      </c>
      <c r="H499" s="153">
        <f t="shared" si="179"/>
        <v>0</v>
      </c>
      <c r="I499" s="153">
        <f t="shared" si="179"/>
        <v>0</v>
      </c>
      <c r="J499" s="153">
        <f t="shared" si="179"/>
        <v>52.745939723139578</v>
      </c>
      <c r="K499" s="153">
        <f t="shared" si="179"/>
        <v>58.842811652634587</v>
      </c>
      <c r="L499" s="153">
        <f t="shared" si="179"/>
        <v>64.62734609113636</v>
      </c>
      <c r="M499" s="153">
        <f t="shared" si="179"/>
        <v>70.173101182437108</v>
      </c>
      <c r="N499" s="153">
        <f t="shared" si="179"/>
        <v>77.633743677608052</v>
      </c>
    </row>
    <row r="500" spans="2:14">
      <c r="B500" s="153" t="str">
        <f t="shared" ref="B500:N500" si="180">+B394</f>
        <v>Minus tax on EBIT</v>
      </c>
      <c r="C500" s="153">
        <f t="shared" si="180"/>
        <v>0</v>
      </c>
      <c r="D500" s="153">
        <f t="shared" si="180"/>
        <v>0</v>
      </c>
      <c r="E500" s="153">
        <f t="shared" si="180"/>
        <v>0</v>
      </c>
      <c r="F500" s="153">
        <f t="shared" si="180"/>
        <v>0</v>
      </c>
      <c r="G500" s="153">
        <f t="shared" si="180"/>
        <v>0</v>
      </c>
      <c r="H500" s="153">
        <f t="shared" si="180"/>
        <v>0</v>
      </c>
      <c r="I500" s="153">
        <f t="shared" si="180"/>
        <v>0</v>
      </c>
      <c r="J500" s="153">
        <f t="shared" si="180"/>
        <v>-18.461078903098851</v>
      </c>
      <c r="K500" s="153">
        <f t="shared" si="180"/>
        <v>-20.594984078422105</v>
      </c>
      <c r="L500" s="153">
        <f t="shared" si="180"/>
        <v>-22.619571131897725</v>
      </c>
      <c r="M500" s="153">
        <f t="shared" si="180"/>
        <v>-24.560585413852987</v>
      </c>
      <c r="N500" s="153">
        <f t="shared" si="180"/>
        <v>-27.171810287162817</v>
      </c>
    </row>
    <row r="501" spans="2:14">
      <c r="B501" s="153" t="str">
        <f t="shared" ref="B501:N501" si="181">+B395</f>
        <v>Plus depreciation</v>
      </c>
      <c r="C501" s="153">
        <f t="shared" si="181"/>
        <v>0</v>
      </c>
      <c r="D501" s="153">
        <f t="shared" si="181"/>
        <v>0</v>
      </c>
      <c r="E501" s="153">
        <f t="shared" si="181"/>
        <v>0</v>
      </c>
      <c r="F501" s="153">
        <f t="shared" si="181"/>
        <v>0</v>
      </c>
      <c r="G501" s="153">
        <f t="shared" si="181"/>
        <v>0</v>
      </c>
      <c r="H501" s="153">
        <f t="shared" si="181"/>
        <v>0</v>
      </c>
      <c r="I501" s="153">
        <f t="shared" si="181"/>
        <v>0</v>
      </c>
      <c r="J501" s="153">
        <f t="shared" si="181"/>
        <v>14.07631739747003</v>
      </c>
      <c r="K501" s="153">
        <f t="shared" si="181"/>
        <v>17.595396746837537</v>
      </c>
      <c r="L501" s="153">
        <f t="shared" si="181"/>
        <v>21.994245933546921</v>
      </c>
      <c r="M501" s="153">
        <f t="shared" si="181"/>
        <v>29.905154523735519</v>
      </c>
      <c r="N501" s="153">
        <f t="shared" si="181"/>
        <v>37.381443154669398</v>
      </c>
    </row>
    <row r="502" spans="2:14">
      <c r="B502" s="153" t="str">
        <f t="shared" ref="B502:I504" si="182">+B396</f>
        <v>Minus change in working capial</v>
      </c>
      <c r="C502" s="153">
        <f t="shared" si="182"/>
        <v>0</v>
      </c>
      <c r="D502" s="153">
        <f t="shared" si="182"/>
        <v>0</v>
      </c>
      <c r="E502" s="153">
        <f t="shared" si="182"/>
        <v>0</v>
      </c>
      <c r="F502" s="153">
        <f t="shared" si="182"/>
        <v>0</v>
      </c>
      <c r="G502" s="153">
        <f t="shared" si="182"/>
        <v>0</v>
      </c>
      <c r="H502" s="153">
        <f t="shared" si="182"/>
        <v>0</v>
      </c>
      <c r="I502" s="153">
        <f t="shared" si="182"/>
        <v>0</v>
      </c>
      <c r="J502" s="153">
        <f>-J458</f>
        <v>-7.6759951937527831</v>
      </c>
      <c r="K502" s="153">
        <f>-K458</f>
        <v>-1.9461827110123409</v>
      </c>
      <c r="L502" s="153">
        <f>-L458</f>
        <v>-1.9263673272688493</v>
      </c>
      <c r="M502" s="153">
        <f>-M458</f>
        <v>-2.3259917081310846</v>
      </c>
      <c r="N502" s="153">
        <f>-N458</f>
        <v>-2.5556497444986235</v>
      </c>
    </row>
    <row r="503" spans="2:14">
      <c r="B503" s="153" t="str">
        <f t="shared" si="182"/>
        <v>Minus principal payments</v>
      </c>
      <c r="C503" s="153">
        <f t="shared" si="182"/>
        <v>0</v>
      </c>
      <c r="D503" s="153">
        <f t="shared" si="182"/>
        <v>0</v>
      </c>
      <c r="E503" s="153">
        <f t="shared" si="182"/>
        <v>0</v>
      </c>
      <c r="F503" s="153">
        <f t="shared" si="182"/>
        <v>0</v>
      </c>
      <c r="G503" s="153">
        <f t="shared" si="182"/>
        <v>0</v>
      </c>
      <c r="H503" s="153">
        <f t="shared" si="182"/>
        <v>0</v>
      </c>
      <c r="I503" s="153">
        <f t="shared" si="182"/>
        <v>0</v>
      </c>
      <c r="J503" s="153">
        <f t="shared" ref="J503:N504" si="183">+J397</f>
        <v>-5.1682678050671811</v>
      </c>
      <c r="K503" s="153">
        <f t="shared" si="183"/>
        <v>-5.2862467573972722</v>
      </c>
      <c r="L503" s="153">
        <f t="shared" si="183"/>
        <v>6.3580450657832444</v>
      </c>
      <c r="M503" s="153">
        <f t="shared" si="183"/>
        <v>-6.3208990921522172</v>
      </c>
      <c r="N503" s="153">
        <f t="shared" si="183"/>
        <v>-6.3208990921522243</v>
      </c>
    </row>
    <row r="504" spans="2:14">
      <c r="B504" s="153" t="str">
        <f t="shared" si="182"/>
        <v>Minus Investments in operating assets</v>
      </c>
      <c r="C504" s="153">
        <f t="shared" si="182"/>
        <v>0</v>
      </c>
      <c r="D504" s="153">
        <f t="shared" si="182"/>
        <v>0</v>
      </c>
      <c r="E504" s="153">
        <f t="shared" si="182"/>
        <v>0</v>
      </c>
      <c r="F504" s="153">
        <f t="shared" si="182"/>
        <v>0</v>
      </c>
      <c r="G504" s="153">
        <f t="shared" si="182"/>
        <v>0</v>
      </c>
      <c r="H504" s="153">
        <f t="shared" si="182"/>
        <v>0</v>
      </c>
      <c r="I504" s="153">
        <f t="shared" si="182"/>
        <v>0</v>
      </c>
      <c r="J504" s="153">
        <f t="shared" si="183"/>
        <v>-14.076317397470037</v>
      </c>
      <c r="K504" s="153">
        <f t="shared" si="183"/>
        <v>-17.595396746837537</v>
      </c>
      <c r="L504" s="153">
        <f t="shared" si="183"/>
        <v>-87.948903950634531</v>
      </c>
      <c r="M504" s="153">
        <f t="shared" si="183"/>
        <v>-29.905154523735533</v>
      </c>
      <c r="N504" s="153">
        <f t="shared" si="183"/>
        <v>-37.381443154669398</v>
      </c>
    </row>
    <row r="505" spans="2:14">
      <c r="B505" s="153" t="str">
        <f t="shared" ref="B505:N505" si="184">+B401</f>
        <v>Minus Interest payments</v>
      </c>
      <c r="C505" s="153">
        <f t="shared" si="184"/>
        <v>0</v>
      </c>
      <c r="D505" s="153">
        <f t="shared" si="184"/>
        <v>0</v>
      </c>
      <c r="E505" s="153">
        <f t="shared" si="184"/>
        <v>0</v>
      </c>
      <c r="F505" s="153">
        <f t="shared" si="184"/>
        <v>0</v>
      </c>
      <c r="G505" s="153">
        <f t="shared" si="184"/>
        <v>0</v>
      </c>
      <c r="H505" s="153">
        <f t="shared" si="184"/>
        <v>0</v>
      </c>
      <c r="I505" s="153">
        <f t="shared" si="184"/>
        <v>0</v>
      </c>
      <c r="J505" s="153">
        <f t="shared" si="184"/>
        <v>-5.4075397293724574</v>
      </c>
      <c r="K505" s="153">
        <f t="shared" si="184"/>
        <v>-4.5754865686505637</v>
      </c>
      <c r="L505" s="153">
        <f t="shared" si="184"/>
        <v>-3.7966665663208725</v>
      </c>
      <c r="M505" s="153">
        <f t="shared" si="184"/>
        <v>-4.5066132788642195</v>
      </c>
      <c r="N505" s="153">
        <f t="shared" si="184"/>
        <v>-3.8008143289728684</v>
      </c>
    </row>
    <row r="506" spans="2:14">
      <c r="B506" s="153" t="str">
        <f t="shared" ref="B506:N506" si="185">+B402</f>
        <v>Plus tax savings</v>
      </c>
      <c r="C506" s="153">
        <f t="shared" si="185"/>
        <v>0</v>
      </c>
      <c r="D506" s="153">
        <f t="shared" si="185"/>
        <v>0</v>
      </c>
      <c r="E506" s="153">
        <f t="shared" si="185"/>
        <v>0</v>
      </c>
      <c r="F506" s="153">
        <f t="shared" si="185"/>
        <v>0</v>
      </c>
      <c r="G506" s="153">
        <f t="shared" si="185"/>
        <v>0</v>
      </c>
      <c r="H506" s="153">
        <f t="shared" si="185"/>
        <v>0</v>
      </c>
      <c r="I506" s="153">
        <f t="shared" si="185"/>
        <v>0</v>
      </c>
      <c r="J506" s="153">
        <f t="shared" si="185"/>
        <v>1.8926389052803601</v>
      </c>
      <c r="K506" s="153">
        <f t="shared" si="185"/>
        <v>1.6014202990276971</v>
      </c>
      <c r="L506" s="153">
        <f t="shared" si="185"/>
        <v>1.3288332982123052</v>
      </c>
      <c r="M506" s="153">
        <f t="shared" si="185"/>
        <v>1.5773146476024766</v>
      </c>
      <c r="N506" s="153">
        <f t="shared" si="185"/>
        <v>1.3302850151405039</v>
      </c>
    </row>
    <row r="507" spans="2:14">
      <c r="B507" s="153" t="str">
        <f t="shared" ref="B507:I507" si="186">+B403</f>
        <v>CFE</v>
      </c>
      <c r="C507" s="153">
        <f t="shared" si="186"/>
        <v>0</v>
      </c>
      <c r="D507" s="153">
        <f t="shared" si="186"/>
        <v>0</v>
      </c>
      <c r="E507" s="153">
        <f t="shared" si="186"/>
        <v>0</v>
      </c>
      <c r="F507" s="153">
        <f t="shared" si="186"/>
        <v>0</v>
      </c>
      <c r="G507" s="153">
        <f t="shared" si="186"/>
        <v>0</v>
      </c>
      <c r="H507" s="153">
        <f t="shared" si="186"/>
        <v>0</v>
      </c>
      <c r="I507" s="153">
        <f t="shared" si="186"/>
        <v>0</v>
      </c>
      <c r="J507" s="153">
        <f>SUM(J499:J506)</f>
        <v>17.925696997128657</v>
      </c>
      <c r="K507" s="126">
        <f>SUM(K499:K506)</f>
        <v>28.041331836179999</v>
      </c>
      <c r="L507" s="153">
        <f>SUM(L499:L506)</f>
        <v>-21.983038587443151</v>
      </c>
      <c r="M507" s="153">
        <f>SUM(M499:M506)</f>
        <v>34.036326337039057</v>
      </c>
      <c r="N507" s="153">
        <f>SUM(N499:N506)</f>
        <v>39.114855239962033</v>
      </c>
    </row>
    <row r="508" spans="2:14">
      <c r="B508" s="157" t="s">
        <v>412</v>
      </c>
      <c r="C508" s="153"/>
      <c r="D508" s="153"/>
      <c r="E508" s="153"/>
      <c r="F508" s="153"/>
      <c r="G508" s="153"/>
      <c r="H508" s="153"/>
      <c r="I508" s="153"/>
      <c r="J508" s="157">
        <f>+J403</f>
        <v>17.353938235598715</v>
      </c>
      <c r="K508" s="158">
        <f>+K403</f>
        <v>22.93267514522103</v>
      </c>
      <c r="L508" s="157">
        <f>+L403</f>
        <v>18.637435306403457</v>
      </c>
      <c r="M508" s="157">
        <f>+M403</f>
        <v>29.449218378082197</v>
      </c>
      <c r="N508" s="157">
        <f>+N403</f>
        <v>30.643177066807411</v>
      </c>
    </row>
    <row r="510" spans="2:14">
      <c r="B510" s="121" t="s">
        <v>390</v>
      </c>
      <c r="J510" s="125">
        <f>+J496+J462</f>
        <v>28.501504531568298</v>
      </c>
      <c r="K510" s="125">
        <f>+K496+K462</f>
        <v>37.903065162227833</v>
      </c>
      <c r="L510" s="125">
        <f>+L496+L462</f>
        <v>-24.544417086905522</v>
      </c>
      <c r="M510" s="125">
        <f>+M496+M462</f>
        <v>44.863838708055496</v>
      </c>
      <c r="N510" s="125">
        <f>+N496+N462</f>
        <v>49.236568661087119</v>
      </c>
    </row>
    <row r="511" spans="2:14">
      <c r="B511" s="121" t="s">
        <v>391</v>
      </c>
      <c r="J511" s="125">
        <f>+J507+J339</f>
        <v>28.688357091753836</v>
      </c>
      <c r="K511" s="125">
        <f>+K507+K339</f>
        <v>37.785086209897742</v>
      </c>
      <c r="L511" s="125">
        <f>+L507+L339</f>
        <v>-24.544417086905511</v>
      </c>
      <c r="M511" s="125">
        <f>+M507+M339</f>
        <v>44.863838708055496</v>
      </c>
      <c r="N511" s="125">
        <f>+N507+N339</f>
        <v>49.236568661087119</v>
      </c>
    </row>
    <row r="513" spans="2:14">
      <c r="B513" s="121" t="s">
        <v>405</v>
      </c>
      <c r="J513" s="159">
        <f>+J496-J497</f>
        <v>0.57175876152993155</v>
      </c>
      <c r="K513" s="159">
        <f>+K496-K497</f>
        <v>5.1086566909589273</v>
      </c>
      <c r="L513" s="159">
        <f>+L496-L497</f>
        <v>-40.620473893846594</v>
      </c>
      <c r="M513" s="159">
        <f>+M496-M497</f>
        <v>4.5871079589567643</v>
      </c>
      <c r="N513" s="159">
        <f>+N496-N497</f>
        <v>8.4716781731545296</v>
      </c>
    </row>
    <row r="514" spans="2:14">
      <c r="B514" s="121" t="s">
        <v>411</v>
      </c>
      <c r="J514" s="159">
        <f>+J507-J508</f>
        <v>0.57175876152994221</v>
      </c>
      <c r="K514" s="159">
        <f>+K507-K508</f>
        <v>5.1086566909589699</v>
      </c>
      <c r="L514" s="159">
        <f>+L507-L508</f>
        <v>-40.620473893846608</v>
      </c>
      <c r="M514" s="159">
        <f>+M507-M508</f>
        <v>4.5871079589568602</v>
      </c>
      <c r="N514" s="159">
        <f>+N507-N508</f>
        <v>8.471678173154622</v>
      </c>
    </row>
    <row r="515" spans="2:14">
      <c r="B515" s="121"/>
      <c r="J515" s="60"/>
      <c r="K515" s="60"/>
      <c r="L515" s="60"/>
      <c r="M515" s="60"/>
      <c r="N515" s="60"/>
    </row>
    <row r="516" spans="2:14">
      <c r="B516" s="121" t="s">
        <v>408</v>
      </c>
      <c r="J516" s="140">
        <f>+J204-I204</f>
        <v>-1.9385533479791945</v>
      </c>
      <c r="K516" s="140">
        <f>+K204-J204</f>
        <v>0.92845412970069674</v>
      </c>
      <c r="L516" s="140">
        <f>+L204-K204</f>
        <v>0.93234006143494952</v>
      </c>
      <c r="M516" s="140">
        <f>+M204-L204</f>
        <v>1.1441269680424284</v>
      </c>
      <c r="N516" s="140">
        <f>+N204-M204</f>
        <v>1.2381510934507673</v>
      </c>
    </row>
    <row r="517" spans="2:14">
      <c r="B517" s="121" t="s">
        <v>406</v>
      </c>
      <c r="J517" s="140">
        <f>+J207-I207</f>
        <v>3.8478608049100842</v>
      </c>
      <c r="K517" s="140">
        <f>+K207-J207</f>
        <v>5.5701474705974618</v>
      </c>
      <c r="L517" s="140">
        <f>+L207-K207</f>
        <v>-40.072616650521681</v>
      </c>
      <c r="M517" s="140">
        <f>+M207-L207</f>
        <v>3.4429809909144353</v>
      </c>
      <c r="N517" s="140">
        <f>+N207-M207</f>
        <v>7.3607034811736298</v>
      </c>
    </row>
    <row r="518" spans="2:14">
      <c r="B518" s="121" t="s">
        <v>409</v>
      </c>
      <c r="J518" s="140">
        <f>-J194</f>
        <v>-2.0577672236937659</v>
      </c>
      <c r="K518" s="140">
        <f>-K194</f>
        <v>-2.1383767835987513</v>
      </c>
      <c r="L518" s="140">
        <f>-L194</f>
        <v>-2.2772266227075182</v>
      </c>
      <c r="M518" s="140">
        <f>-M194</f>
        <v>0</v>
      </c>
      <c r="N518" s="140">
        <f>-N194</f>
        <v>-0.1956560022611897</v>
      </c>
    </row>
    <row r="519" spans="2:14">
      <c r="B519" s="121" t="s">
        <v>410</v>
      </c>
      <c r="J519" s="140">
        <f>-J518*J8</f>
        <v>0.72021852829281796</v>
      </c>
      <c r="K519" s="140">
        <f>-K518*K8</f>
        <v>0.74843187425956292</v>
      </c>
      <c r="L519" s="140">
        <f>-L518*L8</f>
        <v>0.79702931794763132</v>
      </c>
      <c r="M519" s="140">
        <f>-M518*M8</f>
        <v>0</v>
      </c>
      <c r="N519" s="140">
        <f>-N518*N8</f>
        <v>6.8479600791416392E-2</v>
      </c>
    </row>
    <row r="520" spans="2:14">
      <c r="B520" s="121" t="s">
        <v>407</v>
      </c>
      <c r="J520" s="140">
        <f>SUM(J516:J519)</f>
        <v>0.57175876152994176</v>
      </c>
      <c r="K520" s="140">
        <f>SUM(K516:K519)</f>
        <v>5.1086566909589699</v>
      </c>
      <c r="L520" s="140">
        <f>SUM(L516:L519)</f>
        <v>-40.620473893846615</v>
      </c>
      <c r="M520" s="140">
        <f>SUM(M516:M519)</f>
        <v>4.5871079589568637</v>
      </c>
      <c r="N520" s="140">
        <f>SUM(N516:N519)</f>
        <v>8.4716781731546238</v>
      </c>
    </row>
    <row r="521" spans="2:14">
      <c r="J521" s="140">
        <f>+J520-J513</f>
        <v>1.021405182655144E-14</v>
      </c>
      <c r="K521" s="140">
        <f>+K520-K513</f>
        <v>4.2632564145606011E-14</v>
      </c>
      <c r="L521" s="140">
        <f>+L520-L513</f>
        <v>0</v>
      </c>
      <c r="M521" s="140">
        <f>+M520-M513</f>
        <v>9.9475983006414026E-14</v>
      </c>
      <c r="N521" s="140">
        <f>+N520-N513</f>
        <v>9.4146912488213275E-14</v>
      </c>
    </row>
    <row r="525" spans="2:14">
      <c r="B525" s="121" t="s">
        <v>396</v>
      </c>
      <c r="J525" s="151">
        <f>+J497</f>
        <v>26.037106864758005</v>
      </c>
      <c r="K525" s="151">
        <f>+K497</f>
        <v>31.192988172241211</v>
      </c>
      <c r="L525" s="151">
        <f>+L497</f>
        <v>14.747223508728769</v>
      </c>
      <c r="M525" s="151">
        <f>+M497</f>
        <v>38.699416101496254</v>
      </c>
      <c r="N525" s="151">
        <f>+N497</f>
        <v>39.434605472792086</v>
      </c>
    </row>
    <row r="526" spans="2:14">
      <c r="B526" s="121" t="s">
        <v>413</v>
      </c>
      <c r="J526" s="151">
        <f>+J496</f>
        <v>26.608865626287937</v>
      </c>
      <c r="K526" s="151">
        <f>+K496</f>
        <v>36.301644863200139</v>
      </c>
      <c r="L526" s="151">
        <f>+L496</f>
        <v>-25.873250385117828</v>
      </c>
      <c r="M526" s="151">
        <f>+M496</f>
        <v>43.286524060453019</v>
      </c>
      <c r="N526" s="151">
        <f>+N496</f>
        <v>47.906283645946615</v>
      </c>
    </row>
    <row r="527" spans="2:14">
      <c r="J527" s="160"/>
      <c r="K527" s="160"/>
      <c r="L527" s="160"/>
      <c r="M527" s="160"/>
      <c r="N527" s="160"/>
    </row>
    <row r="528" spans="2:14">
      <c r="B528" s="121" t="s">
        <v>414</v>
      </c>
      <c r="J528" s="59">
        <v>0.16</v>
      </c>
      <c r="K528" s="59">
        <f>+J528</f>
        <v>0.16</v>
      </c>
      <c r="L528" s="59">
        <f>+K528</f>
        <v>0.16</v>
      </c>
      <c r="M528" s="59">
        <f>+L528</f>
        <v>0.16</v>
      </c>
      <c r="N528" s="59">
        <f>+M528</f>
        <v>0.16</v>
      </c>
    </row>
    <row r="529" spans="2:13">
      <c r="B529" s="121" t="s">
        <v>415</v>
      </c>
      <c r="I529">
        <f>+(J525+J529)/(1+J528)</f>
        <v>95.223847204157309</v>
      </c>
      <c r="J529">
        <f>+(K525+K529)/(1+K528)</f>
        <v>84.422555892064466</v>
      </c>
      <c r="K529">
        <f>+(L525+L529)/(1+L528)</f>
        <v>66.737176662553551</v>
      </c>
      <c r="L529">
        <f>+(M525+M529)/(1+M528)</f>
        <v>62.667901419833349</v>
      </c>
      <c r="M529">
        <f>+(N525+N529)/(1+N528)</f>
        <v>33.995349545510422</v>
      </c>
    </row>
    <row r="530" spans="2:13">
      <c r="B530" s="121" t="s">
        <v>416</v>
      </c>
      <c r="I530">
        <f>+(J526+J530)/(1+J528)</f>
        <v>80.056383644883056</v>
      </c>
      <c r="J530">
        <f>+(K526+K530)/(1+K528)</f>
        <v>66.256539401776408</v>
      </c>
      <c r="K530">
        <f>+(L526+L530)/(1+L528)</f>
        <v>40.555940842860494</v>
      </c>
      <c r="L530">
        <f>+(M526+M530)/(1+M528)</f>
        <v>72.918141762836001</v>
      </c>
      <c r="M530">
        <f>+(N526+N530)/(1+N528)</f>
        <v>41.298520384436742</v>
      </c>
    </row>
    <row r="531" spans="2:13">
      <c r="B531" s="121" t="s">
        <v>417</v>
      </c>
      <c r="I531" s="60">
        <f>+I207</f>
        <v>30.654608375014135</v>
      </c>
      <c r="J531" s="60">
        <f>+J207</f>
        <v>34.502469179924219</v>
      </c>
      <c r="K531" s="60">
        <f>+K207</f>
        <v>40.072616650521681</v>
      </c>
      <c r="L531" s="60">
        <f>+L207</f>
        <v>0</v>
      </c>
      <c r="M531" s="60">
        <f>+M207</f>
        <v>3.4429809909144353</v>
      </c>
    </row>
    <row r="532" spans="2:13">
      <c r="B532" s="121" t="s">
        <v>418</v>
      </c>
      <c r="I532" s="60">
        <f>+I531+I530</f>
        <v>110.71099201989719</v>
      </c>
      <c r="J532" s="60">
        <f>+J531+J530</f>
        <v>100.75900858170063</v>
      </c>
      <c r="K532" s="60">
        <f>+K531+K530</f>
        <v>80.628557493382175</v>
      </c>
      <c r="L532" s="60">
        <f>+L531+L530</f>
        <v>72.918141762836001</v>
      </c>
      <c r="M532" s="60">
        <f>+M531+M530</f>
        <v>44.741501375351177</v>
      </c>
    </row>
    <row r="533" spans="2:13">
      <c r="B533"/>
      <c r="I533" s="142">
        <f>+I532/I529-1</f>
        <v>0.16263935212085978</v>
      </c>
      <c r="J533" s="142">
        <f>+J532/J529-1</f>
        <v>0.19350815095580098</v>
      </c>
      <c r="K533" s="142">
        <f>+K532/K529-1</f>
        <v>0.20815056203333704</v>
      </c>
      <c r="L533" s="142">
        <f>+L532/L529-1</f>
        <v>0.16356444225462163</v>
      </c>
      <c r="M533" s="142">
        <f>+M532/M529-1</f>
        <v>0.31610652555446195</v>
      </c>
    </row>
  </sheetData>
  <phoneticPr fontId="0" type="noConversion"/>
  <dataValidations count="2">
    <dataValidation type="decimal" allowBlank="1" showInputMessage="1" showErrorMessage="1" promptTitle="Repurchase of equity" prompt="% of Depreciation as Repurchase of equity" sqref="E42:N42">
      <formula1>0</formula1>
      <formula2>1</formula2>
    </dataValidation>
    <dataValidation type="decimal" allowBlank="1" showInputMessage="1" showErrorMessage="1" promptTitle="Payout Ratio" prompt="A value between 0 and 100" sqref="E34:I34">
      <formula1>0</formula1>
      <formula2>1</formula2>
    </dataValidation>
  </dataValidations>
  <pageMargins left="0.75" right="0.75" top="1" bottom="1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503"/>
  <sheetViews>
    <sheetView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baseColWidth="10" defaultRowHeight="11.25"/>
  <cols>
    <col min="1" max="1" width="4.83203125" bestFit="1" customWidth="1"/>
    <col min="2" max="2" width="46.83203125" style="58" customWidth="1"/>
    <col min="4" max="4" width="13.1640625" customWidth="1"/>
    <col min="5" max="5" width="13.5" customWidth="1"/>
    <col min="6" max="6" width="13.6640625" customWidth="1"/>
    <col min="7" max="9" width="10.1640625" customWidth="1"/>
    <col min="10" max="14" width="11" customWidth="1"/>
    <col min="15" max="15" width="9.33203125" bestFit="1" customWidth="1"/>
    <col min="16" max="16" width="13.83203125" bestFit="1" customWidth="1"/>
    <col min="17" max="17" width="12.1640625" bestFit="1" customWidth="1"/>
  </cols>
  <sheetData>
    <row r="1" spans="1:22" ht="12.75">
      <c r="A1" s="1"/>
      <c r="B1" s="12" t="s">
        <v>1</v>
      </c>
      <c r="C1" s="12" t="s">
        <v>12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3"/>
      <c r="O1" s="3"/>
      <c r="P1" s="3"/>
      <c r="Q1" s="3"/>
      <c r="R1" s="3"/>
      <c r="S1" s="3"/>
      <c r="T1" s="3"/>
      <c r="U1" s="3"/>
      <c r="V1" s="3"/>
    </row>
    <row r="2" spans="1:22" ht="15">
      <c r="A2" s="1"/>
      <c r="B2" s="2"/>
      <c r="C2" s="41" t="s">
        <v>70</v>
      </c>
      <c r="D2" s="41">
        <v>0</v>
      </c>
      <c r="E2" s="41">
        <v>1</v>
      </c>
      <c r="F2" s="41">
        <v>2</v>
      </c>
      <c r="G2" s="41">
        <v>3</v>
      </c>
      <c r="H2" s="41">
        <v>4</v>
      </c>
      <c r="I2" s="41">
        <v>5</v>
      </c>
      <c r="J2" s="41">
        <v>6</v>
      </c>
      <c r="K2" s="41">
        <v>7</v>
      </c>
      <c r="L2" s="41">
        <v>8</v>
      </c>
      <c r="M2" s="41">
        <v>9</v>
      </c>
      <c r="N2" s="41">
        <v>10</v>
      </c>
      <c r="O2" s="3"/>
      <c r="P2" s="3"/>
      <c r="Q2" s="3"/>
      <c r="R2" s="3"/>
      <c r="S2" s="3"/>
      <c r="T2" s="3"/>
      <c r="U2" s="3"/>
      <c r="V2" s="3"/>
    </row>
    <row r="3" spans="1:22" ht="12.75">
      <c r="A3" s="1">
        <f t="shared" ref="A3:A66" si="0">ROW(B3)</f>
        <v>3</v>
      </c>
      <c r="B3" s="3"/>
      <c r="J3" s="5"/>
      <c r="K3" s="3"/>
      <c r="L3" s="1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>
      <c r="A4" s="1">
        <f t="shared" si="0"/>
        <v>4</v>
      </c>
      <c r="B4" s="112" t="s">
        <v>169</v>
      </c>
      <c r="C4" s="4"/>
      <c r="D4" s="1"/>
      <c r="E4" s="1"/>
      <c r="F4" s="1"/>
      <c r="G4" s="7"/>
      <c r="H4" s="7"/>
      <c r="I4" s="1"/>
      <c r="J4" s="1"/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>
      <c r="A5" s="1">
        <f t="shared" si="0"/>
        <v>5</v>
      </c>
      <c r="B5" s="33" t="s">
        <v>184</v>
      </c>
      <c r="C5" s="4"/>
      <c r="D5" s="10">
        <v>45</v>
      </c>
      <c r="E5" s="1"/>
      <c r="F5" s="8"/>
      <c r="G5" s="7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">
      <c r="A6" s="1">
        <f t="shared" si="0"/>
        <v>6</v>
      </c>
      <c r="B6" s="6" t="s">
        <v>13</v>
      </c>
      <c r="C6" s="4"/>
      <c r="D6" s="10">
        <v>4</v>
      </c>
      <c r="E6" s="1"/>
      <c r="F6" s="11"/>
      <c r="G6" s="1"/>
      <c r="H6" s="3"/>
      <c r="I6" s="12"/>
      <c r="J6" s="13"/>
      <c r="K6" s="14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">
      <c r="A7" s="1">
        <f t="shared" si="0"/>
        <v>7</v>
      </c>
      <c r="B7" s="33" t="s">
        <v>170</v>
      </c>
      <c r="C7" s="4"/>
      <c r="D7" s="10">
        <v>15</v>
      </c>
      <c r="E7" s="1"/>
      <c r="F7" s="15"/>
      <c r="G7" s="1"/>
      <c r="H7" s="3"/>
      <c r="I7" s="12"/>
      <c r="J7" s="13"/>
      <c r="K7" s="14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">
      <c r="A8" s="1">
        <f t="shared" si="0"/>
        <v>8</v>
      </c>
      <c r="B8" s="33" t="s">
        <v>171</v>
      </c>
      <c r="C8" s="4"/>
      <c r="D8" s="16">
        <v>0.35</v>
      </c>
      <c r="E8" s="1"/>
      <c r="F8" s="17"/>
      <c r="G8" s="19"/>
      <c r="H8" s="20"/>
      <c r="I8" s="21"/>
      <c r="J8" s="16">
        <f>+J268</f>
        <v>0.35</v>
      </c>
      <c r="K8" s="25">
        <f>+J8</f>
        <v>0.35</v>
      </c>
      <c r="L8" s="25">
        <f>+K8</f>
        <v>0.35</v>
      </c>
      <c r="M8" s="25">
        <f>+L8</f>
        <v>0.35</v>
      </c>
      <c r="N8" s="25">
        <f>+M8</f>
        <v>0.35</v>
      </c>
      <c r="O8" s="3"/>
      <c r="P8" s="3"/>
      <c r="Q8" s="3"/>
      <c r="R8" s="3"/>
      <c r="S8" s="3"/>
      <c r="T8" s="3"/>
      <c r="U8" s="3"/>
      <c r="V8" s="3"/>
    </row>
    <row r="9" spans="1:22" ht="15">
      <c r="A9" s="1">
        <f t="shared" si="0"/>
        <v>9</v>
      </c>
      <c r="B9" s="33" t="s">
        <v>14</v>
      </c>
      <c r="C9" s="4"/>
      <c r="D9" s="10">
        <v>4</v>
      </c>
      <c r="E9" s="1"/>
      <c r="F9" s="17"/>
      <c r="G9" s="1"/>
      <c r="H9" s="1"/>
      <c r="I9" s="23"/>
      <c r="J9" s="19"/>
      <c r="K9" s="18"/>
      <c r="L9" s="19"/>
      <c r="M9" s="18"/>
      <c r="N9" s="19"/>
      <c r="O9" s="3"/>
      <c r="P9" s="3"/>
      <c r="Q9" s="3"/>
      <c r="R9" s="3"/>
      <c r="S9" s="3"/>
      <c r="T9" s="3"/>
      <c r="U9" s="3"/>
      <c r="V9" s="3"/>
    </row>
    <row r="10" spans="1:22" ht="15">
      <c r="A10" s="1">
        <f t="shared" si="0"/>
        <v>10</v>
      </c>
      <c r="B10" s="103" t="s">
        <v>172</v>
      </c>
      <c r="C10" s="4"/>
      <c r="D10" s="10">
        <v>5</v>
      </c>
      <c r="E10" s="1"/>
      <c r="F10" s="17"/>
      <c r="G10" s="29"/>
      <c r="H10" s="30"/>
      <c r="I10" s="21"/>
      <c r="J10" s="7"/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30">
      <c r="A11" s="1">
        <f t="shared" si="0"/>
        <v>11</v>
      </c>
      <c r="B11" s="33" t="s">
        <v>182</v>
      </c>
      <c r="C11" s="4"/>
      <c r="D11" s="10">
        <v>22</v>
      </c>
      <c r="E11" s="1"/>
      <c r="F11" s="1"/>
      <c r="G11" s="1"/>
      <c r="H11" s="1"/>
      <c r="I11" s="1"/>
      <c r="J11" s="1"/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30">
      <c r="A12" s="1">
        <f t="shared" si="0"/>
        <v>12</v>
      </c>
      <c r="B12" s="33" t="s">
        <v>173</v>
      </c>
      <c r="C12" s="4"/>
      <c r="D12" s="10">
        <v>24</v>
      </c>
      <c r="E12" s="32"/>
      <c r="F12" s="32"/>
      <c r="G12" s="32"/>
      <c r="H12" s="32"/>
      <c r="I12" s="32"/>
      <c r="J12" s="1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30">
      <c r="A13" s="1">
        <f t="shared" si="0"/>
        <v>13</v>
      </c>
      <c r="B13" s="33" t="s">
        <v>174</v>
      </c>
      <c r="D13" s="10">
        <v>5</v>
      </c>
      <c r="E13" s="32"/>
      <c r="F13" s="32"/>
      <c r="G13" s="32"/>
      <c r="H13" s="32"/>
      <c r="I13" s="32"/>
      <c r="J13" s="1"/>
      <c r="K13" s="3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">
      <c r="A14" s="1">
        <f t="shared" si="0"/>
        <v>14</v>
      </c>
      <c r="B14" s="33" t="s">
        <v>175</v>
      </c>
      <c r="D14" s="10">
        <v>10</v>
      </c>
      <c r="E14" s="32"/>
      <c r="F14" s="32"/>
      <c r="G14" s="32"/>
      <c r="H14" s="32"/>
      <c r="I14" s="32"/>
      <c r="J14" s="1"/>
      <c r="K14" s="3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30">
      <c r="A15" s="1">
        <f t="shared" si="0"/>
        <v>15</v>
      </c>
      <c r="B15" s="33" t="s">
        <v>176</v>
      </c>
      <c r="D15" s="10">
        <v>1</v>
      </c>
      <c r="E15" s="32"/>
      <c r="F15" s="32"/>
      <c r="G15" s="32"/>
      <c r="H15" s="32"/>
      <c r="I15" s="32"/>
      <c r="J15" s="1"/>
      <c r="K15" s="3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45">
      <c r="A16" s="1">
        <f t="shared" si="0"/>
        <v>16</v>
      </c>
      <c r="B16" s="33" t="s">
        <v>177</v>
      </c>
      <c r="C16" s="2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5">
      <c r="A17" s="1">
        <f t="shared" si="0"/>
        <v>17</v>
      </c>
      <c r="B17" s="33" t="s">
        <v>178</v>
      </c>
      <c r="C17" s="4"/>
      <c r="D17" s="1"/>
      <c r="E17" s="16">
        <v>0.06</v>
      </c>
      <c r="F17" s="16">
        <v>5.5E-2</v>
      </c>
      <c r="G17" s="16">
        <v>5.5E-2</v>
      </c>
      <c r="H17" s="16">
        <v>0.05</v>
      </c>
      <c r="I17" s="16">
        <v>4.4999999999999998E-2</v>
      </c>
      <c r="J17" s="16">
        <v>0.04</v>
      </c>
      <c r="K17" s="16">
        <v>3.5000000000000003E-2</v>
      </c>
      <c r="L17" s="16">
        <v>0.03</v>
      </c>
      <c r="M17" s="16">
        <v>0.03</v>
      </c>
      <c r="N17" s="16">
        <v>0.03</v>
      </c>
      <c r="O17" s="3"/>
      <c r="P17" s="3"/>
      <c r="Q17" s="3"/>
      <c r="R17" s="3"/>
      <c r="S17" s="3"/>
      <c r="T17" s="3"/>
      <c r="U17" s="3"/>
      <c r="V17" s="3"/>
    </row>
    <row r="18" spans="1:22" ht="30">
      <c r="A18" s="1">
        <f t="shared" si="0"/>
        <v>18</v>
      </c>
      <c r="B18" s="33" t="s">
        <v>179</v>
      </c>
      <c r="C18" s="4"/>
      <c r="D18" s="1"/>
      <c r="E18" s="16">
        <v>8.0000000000000002E-3</v>
      </c>
      <c r="F18" s="16">
        <v>1.0999999999999999E-2</v>
      </c>
      <c r="G18" s="16">
        <v>0.01</v>
      </c>
      <c r="H18" s="16">
        <v>1.2E-2</v>
      </c>
      <c r="I18" s="16">
        <v>8.0000000000000002E-3</v>
      </c>
      <c r="J18" s="26">
        <f>+$J$240</f>
        <v>1.0249999999999981E-2</v>
      </c>
      <c r="K18" s="32">
        <f>+$J$240</f>
        <v>1.0249999999999981E-2</v>
      </c>
      <c r="L18" s="32">
        <f>+$J$240</f>
        <v>1.0249999999999981E-2</v>
      </c>
      <c r="M18" s="32">
        <f>+$J$240</f>
        <v>1.0249999999999981E-2</v>
      </c>
      <c r="N18" s="32">
        <f>+$J$240</f>
        <v>1.0249999999999981E-2</v>
      </c>
      <c r="O18" s="3"/>
      <c r="P18" s="3"/>
      <c r="Q18" s="3"/>
      <c r="R18" s="3"/>
      <c r="S18" s="3"/>
      <c r="T18" s="3"/>
      <c r="U18" s="3"/>
      <c r="V18" s="3"/>
    </row>
    <row r="19" spans="1:22" ht="30">
      <c r="A19" s="1">
        <f t="shared" si="0"/>
        <v>19</v>
      </c>
      <c r="B19" s="33" t="s">
        <v>180</v>
      </c>
      <c r="C19" s="4"/>
      <c r="D19" s="1"/>
      <c r="E19" s="16">
        <v>5.0000000000000001E-3</v>
      </c>
      <c r="F19" s="16">
        <v>6.0000000000000001E-3</v>
      </c>
      <c r="G19" s="16">
        <v>7.0000000000000001E-3</v>
      </c>
      <c r="H19" s="16">
        <v>5.0000000000000001E-3</v>
      </c>
      <c r="I19" s="16">
        <v>4.0000000000000001E-3</v>
      </c>
      <c r="J19" s="26">
        <f>+$J$242</f>
        <v>5.4999999999999494E-3</v>
      </c>
      <c r="K19" s="32">
        <f>+$J$242</f>
        <v>5.4999999999999494E-3</v>
      </c>
      <c r="L19" s="32">
        <f>+$J$242</f>
        <v>5.4999999999999494E-3</v>
      </c>
      <c r="M19" s="32">
        <f>+$J$242</f>
        <v>5.4999999999999494E-3</v>
      </c>
      <c r="N19" s="32">
        <f>+$J$242</f>
        <v>5.4999999999999494E-3</v>
      </c>
      <c r="O19" s="3"/>
      <c r="P19" s="3"/>
      <c r="Q19" s="3"/>
      <c r="R19" s="3"/>
      <c r="S19" s="3"/>
      <c r="T19" s="3"/>
      <c r="U19" s="3"/>
      <c r="V19" s="3"/>
    </row>
    <row r="20" spans="1:22" ht="30">
      <c r="A20" s="1">
        <f t="shared" si="0"/>
        <v>20</v>
      </c>
      <c r="B20" s="33" t="s">
        <v>181</v>
      </c>
      <c r="C20" s="4"/>
      <c r="D20" s="7"/>
      <c r="E20" s="16">
        <v>5.0000000000000001E-3</v>
      </c>
      <c r="F20" s="16">
        <v>0.01</v>
      </c>
      <c r="G20" s="16">
        <v>4.0000000000000001E-3</v>
      </c>
      <c r="H20" s="16">
        <v>8.0000000000000002E-3</v>
      </c>
      <c r="I20" s="16">
        <v>1.2E-2</v>
      </c>
      <c r="J20" s="26">
        <f>+$J$248</f>
        <v>8.5000000000000075E-3</v>
      </c>
      <c r="K20" s="32">
        <f>+$J$248</f>
        <v>8.5000000000000075E-3</v>
      </c>
      <c r="L20" s="32">
        <f>+$J$248</f>
        <v>8.5000000000000075E-3</v>
      </c>
      <c r="M20" s="32">
        <f>+$J$248</f>
        <v>8.5000000000000075E-3</v>
      </c>
      <c r="N20" s="32">
        <f>+$J$248</f>
        <v>8.5000000000000075E-3</v>
      </c>
      <c r="O20" s="3"/>
      <c r="P20" s="3"/>
      <c r="Q20" s="3"/>
      <c r="R20" s="3"/>
      <c r="S20" s="3"/>
      <c r="T20" s="3"/>
      <c r="U20" s="3"/>
      <c r="V20" s="3"/>
    </row>
    <row r="21" spans="1:22" ht="30">
      <c r="A21" s="1">
        <f t="shared" si="0"/>
        <v>21</v>
      </c>
      <c r="B21" s="33" t="s">
        <v>183</v>
      </c>
      <c r="C21" s="4"/>
      <c r="D21" s="1"/>
      <c r="E21" s="16">
        <v>1.4999999999999999E-2</v>
      </c>
      <c r="F21" s="16">
        <v>0.02</v>
      </c>
      <c r="G21" s="16">
        <v>0.01</v>
      </c>
      <c r="H21" s="16">
        <v>1.0999999999999999E-2</v>
      </c>
      <c r="I21" s="16">
        <v>8.0000000000000002E-3</v>
      </c>
      <c r="J21" s="26">
        <f>+$J$250</f>
        <v>1.9120254993220231E-2</v>
      </c>
      <c r="K21" s="32">
        <f>+$J$250</f>
        <v>1.9120254993220231E-2</v>
      </c>
      <c r="L21" s="32">
        <f>+$J$250</f>
        <v>1.9120254993220231E-2</v>
      </c>
      <c r="M21" s="32">
        <f>+$J$250</f>
        <v>1.9120254993220231E-2</v>
      </c>
      <c r="N21" s="32">
        <f>+$J$250</f>
        <v>1.9120254993220231E-2</v>
      </c>
      <c r="O21" s="3"/>
      <c r="P21" s="3"/>
      <c r="Q21" s="3"/>
      <c r="R21" s="3"/>
      <c r="S21" s="3"/>
      <c r="T21" s="3"/>
      <c r="U21" s="3"/>
      <c r="V21" s="3"/>
    </row>
    <row r="22" spans="1:22" ht="30">
      <c r="A22" s="1">
        <f t="shared" si="0"/>
        <v>22</v>
      </c>
      <c r="B22" s="33" t="s">
        <v>185</v>
      </c>
      <c r="C22" s="4"/>
      <c r="D22" s="1"/>
      <c r="E22" s="16">
        <v>2E-3</v>
      </c>
      <c r="F22" s="16">
        <v>3.0000000000000001E-3</v>
      </c>
      <c r="G22" s="16">
        <v>4.0000000000000001E-3</v>
      </c>
      <c r="H22" s="16">
        <v>1E-3</v>
      </c>
      <c r="I22" s="16">
        <v>5.0000000000000001E-3</v>
      </c>
      <c r="J22" s="16">
        <v>2E-3</v>
      </c>
      <c r="K22" s="32">
        <v>2E-3</v>
      </c>
      <c r="L22" s="32">
        <v>2E-3</v>
      </c>
      <c r="M22" s="32">
        <v>2E-3</v>
      </c>
      <c r="N22" s="32">
        <v>2E-3</v>
      </c>
      <c r="O22" s="3"/>
      <c r="P22" s="3"/>
      <c r="Q22" s="3"/>
      <c r="R22" s="3"/>
      <c r="S22" s="3"/>
      <c r="T22" s="3"/>
      <c r="U22" s="3"/>
      <c r="V22" s="3"/>
    </row>
    <row r="23" spans="1:22" ht="30">
      <c r="A23" s="1">
        <f t="shared" si="0"/>
        <v>23</v>
      </c>
      <c r="B23" s="33" t="s">
        <v>186</v>
      </c>
      <c r="C23" s="4"/>
      <c r="D23" s="1"/>
      <c r="E23" s="16">
        <v>0</v>
      </c>
      <c r="F23" s="16">
        <v>8.0000000000000002E-3</v>
      </c>
      <c r="G23" s="16">
        <v>1.7000000000000001E-2</v>
      </c>
      <c r="H23" s="16">
        <v>1.4999999999999999E-2</v>
      </c>
      <c r="I23" s="16">
        <v>2.1000000000000001E-2</v>
      </c>
      <c r="J23" s="26">
        <f>+$J$246</f>
        <v>1.524999999999993E-2</v>
      </c>
      <c r="K23" s="32">
        <f>+$J$246</f>
        <v>1.524999999999993E-2</v>
      </c>
      <c r="L23" s="32">
        <f>+$J$246</f>
        <v>1.524999999999993E-2</v>
      </c>
      <c r="M23" s="32">
        <f>+$J$246</f>
        <v>1.524999999999993E-2</v>
      </c>
      <c r="N23" s="32">
        <f>+$J$246</f>
        <v>1.524999999999993E-2</v>
      </c>
      <c r="O23" s="3"/>
      <c r="P23" s="3"/>
      <c r="Q23" s="3"/>
      <c r="R23" s="3"/>
      <c r="S23" s="3"/>
      <c r="T23" s="3"/>
      <c r="U23" s="3"/>
      <c r="V23" s="3"/>
    </row>
    <row r="24" spans="1:22" ht="15">
      <c r="A24" s="1">
        <f t="shared" si="0"/>
        <v>24</v>
      </c>
      <c r="B24" s="33" t="s">
        <v>187</v>
      </c>
      <c r="C24" s="4"/>
      <c r="D24" s="1"/>
      <c r="E24" s="16">
        <v>0.02</v>
      </c>
      <c r="F24" s="16">
        <v>0.03</v>
      </c>
      <c r="G24" s="16">
        <v>0.04</v>
      </c>
      <c r="H24" s="16">
        <v>0.01</v>
      </c>
      <c r="I24" s="16">
        <v>0.02</v>
      </c>
      <c r="J24" s="16">
        <f>+$J$251</f>
        <v>2.4000000000000021E-2</v>
      </c>
      <c r="K24" s="32">
        <f>+$J$251</f>
        <v>2.4000000000000021E-2</v>
      </c>
      <c r="L24" s="32">
        <f>+$J$251</f>
        <v>2.4000000000000021E-2</v>
      </c>
      <c r="M24" s="32">
        <f>+$J$251</f>
        <v>2.4000000000000021E-2</v>
      </c>
      <c r="N24" s="32">
        <f>+$J$251</f>
        <v>2.4000000000000021E-2</v>
      </c>
      <c r="O24" s="3"/>
      <c r="P24" s="3"/>
      <c r="Q24" s="3"/>
      <c r="R24" s="3"/>
      <c r="S24" s="3"/>
      <c r="T24" s="3"/>
      <c r="U24" s="3"/>
      <c r="V24" s="3"/>
    </row>
    <row r="25" spans="1:22" ht="30">
      <c r="A25" s="1">
        <f t="shared" si="0"/>
        <v>25</v>
      </c>
      <c r="B25" s="33" t="s">
        <v>188</v>
      </c>
      <c r="C25" s="4"/>
      <c r="D25" s="1"/>
      <c r="E25" s="26">
        <v>0.05</v>
      </c>
      <c r="F25" s="26">
        <v>4.9200000000000001E-2</v>
      </c>
      <c r="G25" s="26">
        <v>5.2999999999999999E-2</v>
      </c>
      <c r="H25" s="26">
        <v>5.1999999999999998E-2</v>
      </c>
      <c r="I25" s="26">
        <v>4.9000000000000002E-2</v>
      </c>
      <c r="J25" s="26">
        <f>+$J$257</f>
        <v>5.079999999999997E-2</v>
      </c>
      <c r="K25" s="32">
        <f>+$J$257</f>
        <v>5.079999999999997E-2</v>
      </c>
      <c r="L25" s="32">
        <f>+$J$257</f>
        <v>5.079999999999997E-2</v>
      </c>
      <c r="M25" s="32">
        <f>+$J$257</f>
        <v>5.079999999999997E-2</v>
      </c>
      <c r="N25" s="32">
        <f>+$J$257</f>
        <v>5.079999999999997E-2</v>
      </c>
      <c r="O25" s="3"/>
      <c r="P25" s="3"/>
      <c r="Q25" s="3"/>
      <c r="R25" s="3"/>
      <c r="S25" s="3"/>
      <c r="T25" s="3"/>
      <c r="U25" s="3"/>
      <c r="V25" s="3"/>
    </row>
    <row r="26" spans="1:22" ht="27" customHeight="1">
      <c r="A26" s="1">
        <f t="shared" si="0"/>
        <v>26</v>
      </c>
      <c r="B26" s="3" t="s">
        <v>327</v>
      </c>
      <c r="C26" s="28"/>
      <c r="D26" s="3"/>
      <c r="E26" s="26">
        <v>-4.060000000000008E-3</v>
      </c>
      <c r="F26" s="26">
        <v>-4.332500000000003E-3</v>
      </c>
      <c r="G26" s="26">
        <v>-4.8600000000000032E-3</v>
      </c>
      <c r="H26" s="26">
        <v>-3.0249999999999999E-3</v>
      </c>
      <c r="I26" s="26">
        <v>-3.2949999999999924E-3</v>
      </c>
      <c r="J26" s="26">
        <f>+$J$267</f>
        <v>-3.9425000000000016E-3</v>
      </c>
      <c r="K26" s="138">
        <f>+$J$267</f>
        <v>-3.9425000000000016E-3</v>
      </c>
      <c r="L26" s="138">
        <f>+$J$267</f>
        <v>-3.9425000000000016E-3</v>
      </c>
      <c r="M26" s="138">
        <f>+$J$267</f>
        <v>-3.9425000000000016E-3</v>
      </c>
      <c r="N26" s="138">
        <f>+$J$267</f>
        <v>-3.9425000000000016E-3</v>
      </c>
      <c r="O26" s="3"/>
      <c r="P26" s="3"/>
      <c r="Q26" s="3"/>
      <c r="R26" s="3"/>
      <c r="S26" s="3"/>
      <c r="T26" s="3"/>
      <c r="U26" s="3"/>
      <c r="V26" s="3"/>
    </row>
    <row r="27" spans="1:22" ht="27" customHeight="1">
      <c r="A27" s="1">
        <f t="shared" si="0"/>
        <v>27</v>
      </c>
      <c r="B27" s="112" t="s">
        <v>189</v>
      </c>
      <c r="C27" s="41" t="s">
        <v>70</v>
      </c>
      <c r="D27" s="41">
        <v>0</v>
      </c>
      <c r="E27" s="41">
        <v>1</v>
      </c>
      <c r="F27" s="41">
        <v>2</v>
      </c>
      <c r="G27" s="41">
        <v>3</v>
      </c>
      <c r="H27" s="41">
        <v>4</v>
      </c>
      <c r="I27" s="41">
        <v>5</v>
      </c>
      <c r="J27" s="1"/>
      <c r="K27" s="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7" customHeight="1">
      <c r="A28" s="1">
        <f t="shared" si="0"/>
        <v>28</v>
      </c>
      <c r="B28" s="33" t="s">
        <v>190</v>
      </c>
      <c r="C28" s="4"/>
      <c r="D28" s="1"/>
      <c r="E28" s="16">
        <v>0.03</v>
      </c>
      <c r="F28" s="16">
        <v>2.7E-2</v>
      </c>
      <c r="G28" s="16">
        <v>3.1E-2</v>
      </c>
      <c r="H28" s="16">
        <v>3.2000000000000001E-2</v>
      </c>
      <c r="I28" s="16">
        <v>2.9000000000000001E-2</v>
      </c>
      <c r="O28" s="3"/>
      <c r="P28" s="3"/>
      <c r="Q28" s="3"/>
      <c r="R28" s="3"/>
      <c r="S28" s="3"/>
      <c r="T28" s="3"/>
      <c r="U28" s="3"/>
      <c r="V28" s="3"/>
    </row>
    <row r="29" spans="1:22" ht="27" customHeight="1">
      <c r="A29" s="1">
        <f t="shared" si="0"/>
        <v>29</v>
      </c>
      <c r="B29" s="33" t="s">
        <v>191</v>
      </c>
      <c r="C29" s="4"/>
      <c r="D29" s="1"/>
      <c r="E29" s="74">
        <v>8.3333333333333301E-2</v>
      </c>
      <c r="F29" s="74">
        <v>0.08</v>
      </c>
      <c r="G29" s="74">
        <v>0.09</v>
      </c>
      <c r="H29" s="74">
        <v>8.5000000000000006E-2</v>
      </c>
      <c r="I29" s="74">
        <v>8.4000000000000005E-2</v>
      </c>
      <c r="J29" s="26">
        <f>+J258</f>
        <v>5.9593982519239919E-2</v>
      </c>
      <c r="K29" s="18">
        <f t="shared" ref="K29:N33" si="1">+J29</f>
        <v>5.9593982519239919E-2</v>
      </c>
      <c r="L29" s="18">
        <f t="shared" si="1"/>
        <v>5.9593982519239919E-2</v>
      </c>
      <c r="M29" s="18">
        <f t="shared" si="1"/>
        <v>5.9593982519239919E-2</v>
      </c>
      <c r="N29" s="18">
        <f t="shared" si="1"/>
        <v>5.9593982519239919E-2</v>
      </c>
      <c r="O29" s="3"/>
      <c r="P29" s="3"/>
      <c r="Q29" s="3"/>
      <c r="R29" s="3"/>
      <c r="S29" s="3"/>
      <c r="T29" s="3"/>
      <c r="U29" s="3"/>
      <c r="V29" s="3"/>
    </row>
    <row r="30" spans="1:22" ht="27" customHeight="1">
      <c r="A30" s="1">
        <f t="shared" si="0"/>
        <v>30</v>
      </c>
      <c r="B30" s="33" t="s">
        <v>192</v>
      </c>
      <c r="C30" s="4"/>
      <c r="D30" s="1"/>
      <c r="E30" s="16">
        <v>0.06</v>
      </c>
      <c r="F30" s="16">
        <v>0.06</v>
      </c>
      <c r="G30" s="16">
        <v>0.04</v>
      </c>
      <c r="H30" s="16">
        <v>7.0000000000000007E-2</v>
      </c>
      <c r="I30" s="16">
        <v>0.03</v>
      </c>
      <c r="J30" s="26">
        <f>+J259</f>
        <v>5.2000000000000005E-2</v>
      </c>
      <c r="K30" s="131">
        <f t="shared" si="1"/>
        <v>5.2000000000000005E-2</v>
      </c>
      <c r="L30" s="131">
        <f t="shared" si="1"/>
        <v>5.2000000000000005E-2</v>
      </c>
      <c r="M30" s="131">
        <f t="shared" si="1"/>
        <v>5.2000000000000005E-2</v>
      </c>
      <c r="N30" s="131">
        <f t="shared" si="1"/>
        <v>5.2000000000000005E-2</v>
      </c>
      <c r="O30" s="3"/>
      <c r="P30" s="3"/>
      <c r="Q30" s="3"/>
      <c r="R30" s="3"/>
      <c r="S30" s="3"/>
      <c r="T30" s="3"/>
      <c r="U30" s="3"/>
      <c r="V30" s="3"/>
    </row>
    <row r="31" spans="1:22" ht="27" customHeight="1">
      <c r="A31" s="1">
        <f t="shared" si="0"/>
        <v>31</v>
      </c>
      <c r="B31" s="33" t="s">
        <v>193</v>
      </c>
      <c r="C31" s="4"/>
      <c r="D31" s="1"/>
      <c r="E31" s="16">
        <v>0.1</v>
      </c>
      <c r="F31" s="16">
        <v>0.11</v>
      </c>
      <c r="G31" s="16">
        <v>0.12</v>
      </c>
      <c r="H31" s="16">
        <v>7.0000000000000007E-2</v>
      </c>
      <c r="I31" s="16">
        <v>0.08</v>
      </c>
      <c r="J31" s="26">
        <f>+J261</f>
        <v>9.4999999999999959E-2</v>
      </c>
      <c r="K31" s="25">
        <f t="shared" si="1"/>
        <v>9.4999999999999959E-2</v>
      </c>
      <c r="L31" s="25">
        <f t="shared" si="1"/>
        <v>9.4999999999999959E-2</v>
      </c>
      <c r="M31" s="25">
        <f t="shared" si="1"/>
        <v>9.4999999999999959E-2</v>
      </c>
      <c r="N31" s="25">
        <f t="shared" si="1"/>
        <v>9.4999999999999959E-2</v>
      </c>
      <c r="O31" s="3"/>
      <c r="P31" s="3"/>
      <c r="Q31" s="3"/>
      <c r="R31" s="3"/>
      <c r="S31" s="3"/>
      <c r="T31" s="3"/>
      <c r="U31" s="3"/>
      <c r="V31" s="3"/>
    </row>
    <row r="32" spans="1:22" ht="27" customHeight="1">
      <c r="A32" s="1">
        <f t="shared" si="0"/>
        <v>32</v>
      </c>
      <c r="B32" s="33" t="s">
        <v>194</v>
      </c>
      <c r="C32" s="4"/>
      <c r="D32" s="1"/>
      <c r="E32" s="16">
        <v>0.72</v>
      </c>
      <c r="F32" s="16">
        <v>0.73</v>
      </c>
      <c r="G32" s="16">
        <v>0.77</v>
      </c>
      <c r="H32" s="16">
        <v>0.65</v>
      </c>
      <c r="I32" s="16">
        <v>0.65</v>
      </c>
      <c r="J32" s="26">
        <f>+J263</f>
        <v>0.71750000000000003</v>
      </c>
      <c r="K32" s="25">
        <f>+J32</f>
        <v>0.71750000000000003</v>
      </c>
      <c r="L32" s="25">
        <f t="shared" si="1"/>
        <v>0.71750000000000003</v>
      </c>
      <c r="M32" s="25">
        <f t="shared" si="1"/>
        <v>0.71750000000000003</v>
      </c>
      <c r="N32" s="25">
        <f t="shared" si="1"/>
        <v>0.71750000000000003</v>
      </c>
      <c r="O32" s="3"/>
      <c r="P32" s="3"/>
      <c r="Q32" s="3"/>
      <c r="R32" s="3"/>
      <c r="S32" s="3"/>
      <c r="T32" s="3"/>
      <c r="U32" s="3"/>
      <c r="V32" s="3"/>
    </row>
    <row r="33" spans="1:22" ht="15" customHeight="1">
      <c r="A33" s="1">
        <f t="shared" si="0"/>
        <v>33</v>
      </c>
      <c r="B33" s="33" t="s">
        <v>195</v>
      </c>
      <c r="C33" s="4"/>
      <c r="D33" s="1"/>
      <c r="E33" s="22">
        <v>10</v>
      </c>
      <c r="F33" s="22">
        <v>11</v>
      </c>
      <c r="G33" s="22">
        <v>12</v>
      </c>
      <c r="H33" s="22">
        <v>13</v>
      </c>
      <c r="I33" s="22">
        <v>14</v>
      </c>
      <c r="J33" s="26">
        <f>+J253</f>
        <v>2.6863800838990197E-2</v>
      </c>
      <c r="K33" s="122">
        <f>+J33</f>
        <v>2.6863800838990197E-2</v>
      </c>
      <c r="L33" s="129">
        <f t="shared" si="1"/>
        <v>2.6863800838990197E-2</v>
      </c>
      <c r="M33" s="129">
        <f t="shared" si="1"/>
        <v>2.6863800838990197E-2</v>
      </c>
      <c r="N33" s="129">
        <f t="shared" si="1"/>
        <v>2.6863800838990197E-2</v>
      </c>
      <c r="O33" s="3"/>
      <c r="P33" s="3"/>
      <c r="Q33" s="3"/>
      <c r="R33" s="3"/>
      <c r="S33" s="3"/>
      <c r="T33" s="3"/>
      <c r="U33" s="3"/>
      <c r="V33" s="3"/>
    </row>
    <row r="34" spans="1:22" ht="75">
      <c r="A34" s="1">
        <f t="shared" si="0"/>
        <v>34</v>
      </c>
      <c r="B34" s="33" t="s">
        <v>196</v>
      </c>
      <c r="C34" s="4"/>
      <c r="D34" s="10">
        <v>13</v>
      </c>
      <c r="E34" s="26"/>
      <c r="F34" s="26"/>
      <c r="G34" s="26"/>
      <c r="H34" s="26"/>
      <c r="I34" s="26"/>
      <c r="J34" s="18"/>
      <c r="K34" s="18"/>
      <c r="L34" s="18"/>
      <c r="M34" s="18"/>
      <c r="N34" s="18"/>
      <c r="O34" s="3"/>
      <c r="P34" s="3"/>
      <c r="Q34" s="3"/>
      <c r="R34" s="3"/>
      <c r="S34" s="3"/>
      <c r="T34" s="3"/>
      <c r="U34" s="3"/>
      <c r="V34" s="3"/>
    </row>
    <row r="35" spans="1:22" ht="15">
      <c r="A35" s="1">
        <f t="shared" si="0"/>
        <v>35</v>
      </c>
      <c r="B35" s="33" t="s">
        <v>197</v>
      </c>
      <c r="C35" s="4"/>
      <c r="D35" s="3"/>
      <c r="E35" s="26">
        <v>0.04</v>
      </c>
      <c r="F35" s="31">
        <f>+E35</f>
        <v>0.04</v>
      </c>
      <c r="G35" s="31">
        <f t="shared" ref="G35:N35" si="2">+F35</f>
        <v>0.04</v>
      </c>
      <c r="H35" s="31">
        <f t="shared" si="2"/>
        <v>0.04</v>
      </c>
      <c r="I35" s="31">
        <f t="shared" si="2"/>
        <v>0.04</v>
      </c>
      <c r="J35" s="31">
        <f t="shared" si="2"/>
        <v>0.04</v>
      </c>
      <c r="K35" s="31">
        <f t="shared" si="2"/>
        <v>0.04</v>
      </c>
      <c r="L35" s="31">
        <f t="shared" si="2"/>
        <v>0.04</v>
      </c>
      <c r="M35" s="31">
        <f t="shared" si="2"/>
        <v>0.04</v>
      </c>
      <c r="N35" s="31">
        <f t="shared" si="2"/>
        <v>0.04</v>
      </c>
      <c r="O35" s="3"/>
      <c r="P35" s="3"/>
      <c r="Q35" s="3"/>
      <c r="R35" s="3"/>
      <c r="S35" s="3"/>
      <c r="T35" s="3"/>
      <c r="U35" s="3"/>
      <c r="V35" s="3"/>
    </row>
    <row r="36" spans="1:22" ht="15">
      <c r="A36" s="1">
        <f t="shared" si="0"/>
        <v>36</v>
      </c>
      <c r="B36" s="33" t="s">
        <v>198</v>
      </c>
      <c r="C36" s="4"/>
      <c r="D36" s="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15">
      <c r="A37" s="1">
        <f t="shared" si="0"/>
        <v>37</v>
      </c>
      <c r="B37" s="33" t="s">
        <v>199</v>
      </c>
      <c r="C37" s="4"/>
      <c r="D37" s="10">
        <v>7</v>
      </c>
      <c r="E37" s="1"/>
      <c r="F37" s="1"/>
      <c r="G37" s="1"/>
      <c r="H37" s="1"/>
      <c r="I37" s="1"/>
      <c r="J37" s="1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30">
      <c r="A38" s="1">
        <f t="shared" si="0"/>
        <v>38</v>
      </c>
      <c r="B38" s="33" t="s">
        <v>200</v>
      </c>
      <c r="C38" s="4"/>
      <c r="D38" s="10">
        <v>51</v>
      </c>
      <c r="E38" s="1"/>
      <c r="F38" s="1"/>
      <c r="G38" s="1"/>
      <c r="H38" s="1"/>
      <c r="I38" s="1"/>
      <c r="J38" s="1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45">
      <c r="A39" s="1">
        <f t="shared" si="0"/>
        <v>39</v>
      </c>
      <c r="B39" s="33" t="s">
        <v>201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3"/>
      <c r="P39" s="3"/>
      <c r="Q39" s="3"/>
      <c r="R39" s="3"/>
      <c r="S39" s="3"/>
      <c r="T39" s="3"/>
      <c r="U39" s="3"/>
      <c r="V39" s="3"/>
    </row>
    <row r="40" spans="1:22" ht="30">
      <c r="A40" s="1">
        <f t="shared" si="0"/>
        <v>40</v>
      </c>
      <c r="B40" s="112" t="s">
        <v>202</v>
      </c>
      <c r="C40" s="41" t="s">
        <v>70</v>
      </c>
      <c r="D40" s="41">
        <v>0</v>
      </c>
      <c r="E40" s="41">
        <v>1</v>
      </c>
      <c r="F40" s="41">
        <v>2</v>
      </c>
      <c r="G40" s="41">
        <v>3</v>
      </c>
      <c r="H40" s="41">
        <v>4</v>
      </c>
      <c r="I40" s="41">
        <v>5</v>
      </c>
      <c r="J40" s="75"/>
      <c r="K40" s="75"/>
      <c r="L40" s="31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">
      <c r="A41" s="1">
        <f t="shared" si="0"/>
        <v>41</v>
      </c>
      <c r="B41" s="33" t="s">
        <v>203</v>
      </c>
      <c r="C41" s="4"/>
      <c r="D41" s="1"/>
      <c r="E41" s="32">
        <f t="shared" ref="E41:N45" si="3">(1+E$17)*(1+E18)-1</f>
        <v>6.8480000000000096E-2</v>
      </c>
      <c r="F41" s="32">
        <f t="shared" si="3"/>
        <v>6.6604999999999803E-2</v>
      </c>
      <c r="G41" s="32">
        <f t="shared" si="3"/>
        <v>6.5549999999999997E-2</v>
      </c>
      <c r="H41" s="32">
        <f t="shared" si="3"/>
        <v>6.2599999999999989E-2</v>
      </c>
      <c r="I41" s="32">
        <f t="shared" si="3"/>
        <v>5.3359999999999852E-2</v>
      </c>
      <c r="J41" s="32">
        <f t="shared" si="3"/>
        <v>5.0660000000000149E-2</v>
      </c>
      <c r="K41" s="32">
        <f t="shared" si="3"/>
        <v>4.5608749999999976E-2</v>
      </c>
      <c r="L41" s="32">
        <f t="shared" si="3"/>
        <v>4.0557500000000024E-2</v>
      </c>
      <c r="M41" s="32">
        <f t="shared" si="3"/>
        <v>4.0557500000000024E-2</v>
      </c>
      <c r="N41" s="32">
        <f t="shared" si="3"/>
        <v>4.0557500000000024E-2</v>
      </c>
      <c r="O41" s="3"/>
      <c r="P41" s="3" t="str">
        <f>[4]!FormDisp(J41)</f>
        <v>=(1+J$17)*(1+J18)-1</v>
      </c>
      <c r="Q41" s="3"/>
      <c r="R41" s="3"/>
      <c r="S41" s="3"/>
      <c r="T41" s="3"/>
      <c r="U41" s="3"/>
      <c r="V41" s="3"/>
    </row>
    <row r="42" spans="1:22" ht="15">
      <c r="A42" s="1">
        <f t="shared" si="0"/>
        <v>42</v>
      </c>
      <c r="B42" s="33" t="s">
        <v>204</v>
      </c>
      <c r="C42" s="4"/>
      <c r="D42" s="1"/>
      <c r="E42" s="32">
        <f t="shared" si="3"/>
        <v>6.5299999999999914E-2</v>
      </c>
      <c r="F42" s="32">
        <f t="shared" si="3"/>
        <v>6.1329999999999885E-2</v>
      </c>
      <c r="G42" s="32">
        <f t="shared" si="3"/>
        <v>6.2384999999999913E-2</v>
      </c>
      <c r="H42" s="32">
        <f t="shared" si="3"/>
        <v>5.5250000000000021E-2</v>
      </c>
      <c r="I42" s="32">
        <f t="shared" si="3"/>
        <v>4.9180000000000001E-2</v>
      </c>
      <c r="J42" s="32">
        <f t="shared" si="3"/>
        <v>4.5720000000000205E-2</v>
      </c>
      <c r="K42" s="32">
        <f t="shared" si="3"/>
        <v>4.069250000000002E-2</v>
      </c>
      <c r="L42" s="32">
        <f t="shared" si="3"/>
        <v>3.5665000000000058E-2</v>
      </c>
      <c r="M42" s="32">
        <f t="shared" si="3"/>
        <v>3.5665000000000058E-2</v>
      </c>
      <c r="N42" s="32">
        <f t="shared" si="3"/>
        <v>3.5665000000000058E-2</v>
      </c>
      <c r="O42" s="3"/>
      <c r="P42" s="3" t="str">
        <f>[4]!FormDisp(J42)</f>
        <v>=(1+J$17)*(1+J19)-1</v>
      </c>
      <c r="Q42" s="3"/>
      <c r="R42" s="3"/>
      <c r="S42" s="3"/>
      <c r="T42" s="3"/>
      <c r="U42" s="3"/>
      <c r="V42" s="3"/>
    </row>
    <row r="43" spans="1:22" ht="15">
      <c r="A43" s="1">
        <f t="shared" si="0"/>
        <v>43</v>
      </c>
      <c r="B43" s="63" t="s">
        <v>205</v>
      </c>
      <c r="C43" s="4"/>
      <c r="D43" s="1"/>
      <c r="E43" s="32">
        <f t="shared" si="3"/>
        <v>6.5299999999999914E-2</v>
      </c>
      <c r="F43" s="32">
        <f t="shared" si="3"/>
        <v>6.5549999999999997E-2</v>
      </c>
      <c r="G43" s="32">
        <f t="shared" si="3"/>
        <v>5.922000000000005E-2</v>
      </c>
      <c r="H43" s="32">
        <f t="shared" si="3"/>
        <v>5.8400000000000007E-2</v>
      </c>
      <c r="I43" s="32">
        <f t="shared" si="3"/>
        <v>5.7539999999999925E-2</v>
      </c>
      <c r="J43" s="32">
        <f t="shared" si="3"/>
        <v>4.8839999999999995E-2</v>
      </c>
      <c r="K43" s="32">
        <f t="shared" si="3"/>
        <v>4.3797499999999934E-2</v>
      </c>
      <c r="L43" s="32">
        <f t="shared" si="3"/>
        <v>3.8754999999999873E-2</v>
      </c>
      <c r="M43" s="32">
        <f t="shared" si="3"/>
        <v>3.8754999999999873E-2</v>
      </c>
      <c r="N43" s="32">
        <f t="shared" si="3"/>
        <v>3.8754999999999873E-2</v>
      </c>
      <c r="O43" s="3"/>
      <c r="P43" s="3" t="str">
        <f>[4]!FormDisp(J43)</f>
        <v>=(1+J$17)*(1+J20)-1</v>
      </c>
      <c r="Q43" s="3"/>
      <c r="R43" s="3"/>
      <c r="S43" s="3"/>
      <c r="T43" s="3"/>
      <c r="U43" s="3"/>
      <c r="V43" s="3"/>
    </row>
    <row r="44" spans="1:22" ht="15">
      <c r="A44" s="1">
        <f t="shared" si="0"/>
        <v>44</v>
      </c>
      <c r="B44" s="6" t="s">
        <v>206</v>
      </c>
      <c r="C44" s="4"/>
      <c r="D44" s="1"/>
      <c r="E44" s="32">
        <f t="shared" si="3"/>
        <v>7.5899999999999856E-2</v>
      </c>
      <c r="F44" s="32">
        <f t="shared" si="3"/>
        <v>7.6100000000000056E-2</v>
      </c>
      <c r="G44" s="32">
        <f t="shared" si="3"/>
        <v>6.5549999999999997E-2</v>
      </c>
      <c r="H44" s="32">
        <f t="shared" si="3"/>
        <v>6.1549999999999994E-2</v>
      </c>
      <c r="I44" s="32">
        <f t="shared" si="3"/>
        <v>5.3359999999999852E-2</v>
      </c>
      <c r="J44" s="32">
        <f t="shared" si="3"/>
        <v>5.9885065192949227E-2</v>
      </c>
      <c r="K44" s="32">
        <f t="shared" si="3"/>
        <v>5.4789463917982895E-2</v>
      </c>
      <c r="L44" s="32">
        <f t="shared" si="3"/>
        <v>4.9693862643017006E-2</v>
      </c>
      <c r="M44" s="32">
        <f t="shared" si="3"/>
        <v>4.9693862643017006E-2</v>
      </c>
      <c r="N44" s="32">
        <f t="shared" si="3"/>
        <v>4.9693862643017006E-2</v>
      </c>
      <c r="O44" s="3"/>
      <c r="P44" s="3" t="str">
        <f>[4]!FormDisp(J44)</f>
        <v>=(1+J$17)*(1+J21)-1</v>
      </c>
      <c r="Q44" s="3"/>
      <c r="R44" s="3"/>
      <c r="S44" s="3"/>
      <c r="T44" s="3"/>
      <c r="U44" s="3"/>
      <c r="V44" s="3"/>
    </row>
    <row r="45" spans="1:22" ht="30">
      <c r="A45" s="1">
        <f t="shared" si="0"/>
        <v>45</v>
      </c>
      <c r="B45" s="33" t="s">
        <v>207</v>
      </c>
      <c r="C45" s="4"/>
      <c r="D45" s="1"/>
      <c r="E45" s="32">
        <f t="shared" si="3"/>
        <v>6.2119999999999953E-2</v>
      </c>
      <c r="F45" s="32">
        <f t="shared" si="3"/>
        <v>5.81649999999998E-2</v>
      </c>
      <c r="G45" s="32">
        <f t="shared" si="3"/>
        <v>5.922000000000005E-2</v>
      </c>
      <c r="H45" s="32">
        <f t="shared" si="3"/>
        <v>5.105000000000004E-2</v>
      </c>
      <c r="I45" s="32">
        <f t="shared" si="3"/>
        <v>5.0224999999999742E-2</v>
      </c>
      <c r="J45" s="32">
        <f t="shared" si="3"/>
        <v>4.2080000000000117E-2</v>
      </c>
      <c r="K45" s="32">
        <f t="shared" si="3"/>
        <v>3.7069999999999936E-2</v>
      </c>
      <c r="L45" s="32">
        <f t="shared" si="3"/>
        <v>3.2059999999999977E-2</v>
      </c>
      <c r="M45" s="32">
        <f t="shared" si="3"/>
        <v>3.2059999999999977E-2</v>
      </c>
      <c r="N45" s="32">
        <f t="shared" si="3"/>
        <v>3.2059999999999977E-2</v>
      </c>
      <c r="O45" s="3"/>
      <c r="P45" s="3" t="str">
        <f>[4]!FormDisp(J45)</f>
        <v>=(1+J$17)*(1+J22)-1</v>
      </c>
      <c r="Q45" s="3"/>
      <c r="R45" s="3"/>
      <c r="S45" s="3"/>
      <c r="T45" s="3"/>
      <c r="U45" s="3"/>
      <c r="V45" s="3"/>
    </row>
    <row r="46" spans="1:22" ht="12.75">
      <c r="A46" s="1">
        <f t="shared" si="0"/>
        <v>46</v>
      </c>
      <c r="B46" s="38"/>
      <c r="C46" s="4"/>
      <c r="D46" s="1"/>
      <c r="E46" s="1"/>
      <c r="F46" s="1"/>
      <c r="G46" s="1"/>
      <c r="H46" s="1"/>
      <c r="I46" s="1"/>
      <c r="J46" s="25"/>
      <c r="K46" s="25"/>
      <c r="L46" s="3"/>
      <c r="M46" s="3"/>
      <c r="N46" s="3"/>
      <c r="O46" s="3"/>
      <c r="P46" s="3" t="str">
        <f>[4]!FormDisp(J46)</f>
        <v/>
      </c>
      <c r="Q46" s="3"/>
      <c r="R46" s="3"/>
      <c r="S46" s="3"/>
      <c r="T46" s="3"/>
      <c r="U46" s="3"/>
      <c r="V46" s="3"/>
    </row>
    <row r="47" spans="1:22" ht="15">
      <c r="A47" s="1">
        <f t="shared" si="0"/>
        <v>47</v>
      </c>
      <c r="B47" s="6"/>
      <c r="C47" s="41" t="s">
        <v>70</v>
      </c>
      <c r="D47" s="41">
        <v>0</v>
      </c>
      <c r="E47" s="41">
        <v>1</v>
      </c>
      <c r="F47" s="41">
        <v>2</v>
      </c>
      <c r="G47" s="41">
        <v>3</v>
      </c>
      <c r="H47" s="41">
        <v>4</v>
      </c>
      <c r="I47" s="41">
        <v>5</v>
      </c>
      <c r="J47" s="75"/>
      <c r="K47" s="75"/>
      <c r="L47" s="1"/>
      <c r="M47" s="1"/>
      <c r="N47" s="3"/>
      <c r="O47" s="3"/>
      <c r="P47" s="3" t="str">
        <f>[4]!FormDisp(J47)</f>
        <v/>
      </c>
      <c r="Q47" s="3"/>
      <c r="R47" s="3"/>
      <c r="S47" s="3"/>
      <c r="T47" s="3"/>
      <c r="U47" s="3"/>
      <c r="V47" s="3"/>
    </row>
    <row r="48" spans="1:22" ht="30">
      <c r="A48" s="1">
        <f t="shared" si="0"/>
        <v>48</v>
      </c>
      <c r="B48" s="33" t="s">
        <v>208</v>
      </c>
      <c r="C48" s="4"/>
      <c r="D48" s="1"/>
      <c r="E48" s="73">
        <f t="shared" ref="E48:N48" si="4">+(1+E23)</f>
        <v>1</v>
      </c>
      <c r="F48" s="73">
        <f t="shared" si="4"/>
        <v>1.008</v>
      </c>
      <c r="G48" s="73">
        <f t="shared" si="4"/>
        <v>1.0169999999999999</v>
      </c>
      <c r="H48" s="73">
        <f t="shared" si="4"/>
        <v>1.0149999999999999</v>
      </c>
      <c r="I48" s="73">
        <f t="shared" si="4"/>
        <v>1.0209999999999999</v>
      </c>
      <c r="J48" s="73">
        <f t="shared" si="4"/>
        <v>1.01525</v>
      </c>
      <c r="K48" s="73">
        <f t="shared" si="4"/>
        <v>1.01525</v>
      </c>
      <c r="L48" s="73">
        <f t="shared" si="4"/>
        <v>1.01525</v>
      </c>
      <c r="M48" s="73">
        <f t="shared" si="4"/>
        <v>1.01525</v>
      </c>
      <c r="N48" s="73">
        <f t="shared" si="4"/>
        <v>1.01525</v>
      </c>
      <c r="O48" s="40"/>
      <c r="P48" s="3" t="str">
        <f>[4]!FormDisp(J48)</f>
        <v>=+(1+J23)</v>
      </c>
      <c r="Q48" s="3"/>
      <c r="R48" s="3"/>
      <c r="S48" s="3"/>
      <c r="T48" s="3"/>
      <c r="U48" s="3"/>
      <c r="V48" s="3"/>
    </row>
    <row r="49" spans="1:22" ht="12.75">
      <c r="A49" s="1">
        <f t="shared" si="0"/>
        <v>49</v>
      </c>
      <c r="B49" s="38"/>
      <c r="C49" s="4"/>
      <c r="D49" s="1"/>
      <c r="E49" s="39"/>
      <c r="F49" s="39"/>
      <c r="G49" s="39"/>
      <c r="H49" s="39"/>
      <c r="I49" s="39"/>
      <c r="J49" s="25"/>
      <c r="K49" s="25"/>
      <c r="L49" s="1"/>
      <c r="M49" s="31"/>
      <c r="N49" s="3"/>
      <c r="O49" s="40"/>
      <c r="P49" s="3" t="str">
        <f>[4]!FormDisp(J49)</f>
        <v/>
      </c>
      <c r="Q49" s="3"/>
      <c r="R49" s="3"/>
      <c r="S49" s="3"/>
      <c r="T49" s="3"/>
      <c r="U49" s="3"/>
      <c r="V49" s="3"/>
    </row>
    <row r="50" spans="1:22" ht="30">
      <c r="A50" s="1">
        <f t="shared" si="0"/>
        <v>50</v>
      </c>
      <c r="B50" s="112" t="s">
        <v>209</v>
      </c>
      <c r="C50" s="41" t="s">
        <v>70</v>
      </c>
      <c r="D50" s="41">
        <v>0</v>
      </c>
      <c r="E50" s="41">
        <v>1</v>
      </c>
      <c r="F50" s="41">
        <v>2</v>
      </c>
      <c r="G50" s="41">
        <v>3</v>
      </c>
      <c r="H50" s="41">
        <v>4</v>
      </c>
      <c r="I50" s="41">
        <v>5</v>
      </c>
      <c r="J50" s="75"/>
      <c r="K50" s="75"/>
      <c r="L50" s="1"/>
      <c r="M50" s="31"/>
      <c r="N50" s="3"/>
      <c r="O50" s="40"/>
      <c r="P50" s="3" t="str">
        <f>[4]!FormDisp(J50)</f>
        <v/>
      </c>
      <c r="Q50" s="3"/>
      <c r="R50" s="3"/>
      <c r="S50" s="3"/>
      <c r="T50" s="3"/>
      <c r="U50" s="3"/>
      <c r="V50" s="3"/>
    </row>
    <row r="51" spans="1:22" ht="15">
      <c r="A51" s="1">
        <f t="shared" si="0"/>
        <v>51</v>
      </c>
      <c r="B51" s="33" t="s">
        <v>210</v>
      </c>
      <c r="C51" s="4"/>
      <c r="D51" s="30"/>
      <c r="E51" s="7">
        <f>+D38</f>
        <v>51</v>
      </c>
      <c r="F51" s="7">
        <f t="shared" ref="F51:N51" si="5">E51*F48</f>
        <v>51.408000000000001</v>
      </c>
      <c r="G51" s="7">
        <f t="shared" si="5"/>
        <v>52.281935999999995</v>
      </c>
      <c r="H51" s="7">
        <f t="shared" si="5"/>
        <v>53.066165039999987</v>
      </c>
      <c r="I51" s="7">
        <f t="shared" si="5"/>
        <v>54.180554505839979</v>
      </c>
      <c r="J51" s="7">
        <f>I51*J48</f>
        <v>55.00680796205404</v>
      </c>
      <c r="K51" s="7">
        <f t="shared" si="5"/>
        <v>55.845661783475364</v>
      </c>
      <c r="L51" s="7">
        <f t="shared" si="5"/>
        <v>56.697308125673366</v>
      </c>
      <c r="M51" s="7">
        <f t="shared" si="5"/>
        <v>57.561942074589886</v>
      </c>
      <c r="N51" s="7">
        <f t="shared" si="5"/>
        <v>58.439761691227382</v>
      </c>
      <c r="O51" s="40"/>
      <c r="P51" s="3" t="str">
        <f>[4]!FormDisp(J51)</f>
        <v>=I51*J48</v>
      </c>
      <c r="Q51" s="3"/>
      <c r="R51" s="3"/>
      <c r="S51" s="3"/>
      <c r="T51" s="3"/>
      <c r="U51" s="3"/>
      <c r="V51" s="3"/>
    </row>
    <row r="52" spans="1:22" ht="15">
      <c r="A52" s="1">
        <f t="shared" si="0"/>
        <v>52</v>
      </c>
      <c r="B52" s="33" t="s">
        <v>211</v>
      </c>
      <c r="C52" s="4"/>
      <c r="D52" s="7">
        <f>D37</f>
        <v>7</v>
      </c>
      <c r="E52" s="7">
        <f t="shared" ref="E52:N52" si="6">D52*(1+E41)</f>
        <v>7.4793600000000007</v>
      </c>
      <c r="F52" s="7">
        <f t="shared" si="6"/>
        <v>7.9775227727999996</v>
      </c>
      <c r="G52" s="7">
        <f t="shared" si="6"/>
        <v>8.5004493905570389</v>
      </c>
      <c r="H52" s="7">
        <f t="shared" si="6"/>
        <v>9.0325775224059086</v>
      </c>
      <c r="I52" s="7">
        <f t="shared" si="6"/>
        <v>9.5145558590014865</v>
      </c>
      <c r="J52" s="7">
        <f>I52*(1+J41)</f>
        <v>9.9965632588185027</v>
      </c>
      <c r="K52" s="7">
        <f t="shared" si="6"/>
        <v>10.45249401334914</v>
      </c>
      <c r="L52" s="7">
        <f t="shared" si="6"/>
        <v>10.876421039295549</v>
      </c>
      <c r="M52" s="7">
        <f t="shared" si="6"/>
        <v>11.317541485596777</v>
      </c>
      <c r="N52" s="7">
        <f t="shared" si="6"/>
        <v>11.776552674398868</v>
      </c>
      <c r="O52" s="3"/>
      <c r="P52" s="3" t="str">
        <f>[4]!FormDisp(J52)</f>
        <v>=I52*(1+J41)</v>
      </c>
      <c r="Q52" s="3"/>
      <c r="R52" s="3"/>
      <c r="S52" s="3"/>
      <c r="T52" s="3"/>
      <c r="U52" s="3"/>
      <c r="V52" s="3"/>
    </row>
    <row r="53" spans="1:22" ht="15">
      <c r="A53" s="1">
        <f t="shared" si="0"/>
        <v>53</v>
      </c>
      <c r="B53" s="33" t="s">
        <v>212</v>
      </c>
      <c r="C53" s="4"/>
      <c r="D53" s="7"/>
      <c r="E53" s="7">
        <f t="shared" ref="E53:N53" si="7">+E52*E51</f>
        <v>381.44736000000006</v>
      </c>
      <c r="F53" s="7">
        <f t="shared" si="7"/>
        <v>410.10849070410239</v>
      </c>
      <c r="G53" s="7">
        <f t="shared" si="7"/>
        <v>444.41995100834208</v>
      </c>
      <c r="H53" s="7">
        <f t="shared" si="7"/>
        <v>479.32424954058615</v>
      </c>
      <c r="I53" s="7">
        <f t="shared" si="7"/>
        <v>515.50391231748915</v>
      </c>
      <c r="J53" s="7">
        <f t="shared" si="7"/>
        <v>549.87903545835445</v>
      </c>
      <c r="K53" s="7">
        <f t="shared" si="7"/>
        <v>583.72644546329707</v>
      </c>
      <c r="L53" s="7">
        <f t="shared" si="7"/>
        <v>616.66379496949628</v>
      </c>
      <c r="M53" s="7">
        <f t="shared" si="7"/>
        <v>651.4596674206897</v>
      </c>
      <c r="N53" s="7">
        <f t="shared" si="7"/>
        <v>688.2189318360563</v>
      </c>
      <c r="O53" s="3"/>
      <c r="P53" s="3" t="str">
        <f>[4]!FormDisp(J53)</f>
        <v>=+J52*J51</v>
      </c>
      <c r="Q53" s="3"/>
      <c r="R53" s="3"/>
      <c r="S53" s="3"/>
      <c r="T53" s="3"/>
      <c r="U53" s="3"/>
      <c r="V53" s="3"/>
    </row>
    <row r="54" spans="1:22" ht="12.75">
      <c r="A54" s="1">
        <f t="shared" si="0"/>
        <v>54</v>
      </c>
      <c r="E54" s="15"/>
      <c r="F54" s="15"/>
      <c r="G54" s="15"/>
      <c r="H54" s="15"/>
      <c r="I54" s="15"/>
      <c r="J54" s="25"/>
      <c r="K54" s="25"/>
      <c r="L54" s="3"/>
      <c r="M54" s="3"/>
      <c r="N54" s="3"/>
      <c r="O54" s="3"/>
      <c r="P54" s="3" t="str">
        <f>[4]!FormDisp(J54)</f>
        <v/>
      </c>
      <c r="Q54" s="3"/>
      <c r="R54" s="3"/>
      <c r="S54" s="3"/>
      <c r="T54" s="3"/>
      <c r="U54" s="3"/>
      <c r="V54" s="3"/>
    </row>
    <row r="55" spans="1:22" ht="12.75">
      <c r="A55" s="1">
        <f t="shared" si="0"/>
        <v>55</v>
      </c>
      <c r="B55" s="3"/>
      <c r="C55" s="41" t="s">
        <v>70</v>
      </c>
      <c r="D55" s="41">
        <v>0</v>
      </c>
      <c r="E55" s="41">
        <v>1</v>
      </c>
      <c r="F55" s="41">
        <v>2</v>
      </c>
      <c r="G55" s="41">
        <v>3</v>
      </c>
      <c r="H55" s="41">
        <v>4</v>
      </c>
      <c r="I55" s="41">
        <v>5</v>
      </c>
      <c r="J55" s="25"/>
      <c r="K55" s="25"/>
      <c r="L55" s="3"/>
      <c r="M55" s="3"/>
      <c r="N55" s="3"/>
      <c r="O55" s="3"/>
      <c r="P55" s="3" t="str">
        <f>[4]!FormDisp(J55)</f>
        <v/>
      </c>
      <c r="Q55" s="3"/>
      <c r="R55" s="3"/>
      <c r="S55" s="3"/>
      <c r="T55" s="3"/>
      <c r="U55" s="3"/>
      <c r="V55" s="3"/>
    </row>
    <row r="56" spans="1:22" ht="15">
      <c r="A56" s="1">
        <f t="shared" si="0"/>
        <v>56</v>
      </c>
      <c r="B56" s="6" t="s">
        <v>15</v>
      </c>
      <c r="C56" s="4"/>
      <c r="D56" s="1"/>
      <c r="E56" s="17">
        <f>(1+E45)</f>
        <v>1.06212</v>
      </c>
      <c r="F56" s="17">
        <f t="shared" ref="F56:N56" si="8">E56*(1+F45)</f>
        <v>1.1238982097999997</v>
      </c>
      <c r="G56" s="17">
        <f t="shared" si="8"/>
        <v>1.1904554617843557</v>
      </c>
      <c r="H56" s="17">
        <f t="shared" si="8"/>
        <v>1.2512282131084471</v>
      </c>
      <c r="I56" s="17">
        <f t="shared" si="8"/>
        <v>1.3140711501118185</v>
      </c>
      <c r="J56" s="17">
        <f>I56*(1+J45)</f>
        <v>1.3693672641085239</v>
      </c>
      <c r="K56" s="17">
        <f t="shared" si="8"/>
        <v>1.4201297085890268</v>
      </c>
      <c r="L56" s="17">
        <f t="shared" si="8"/>
        <v>1.4656590670463909</v>
      </c>
      <c r="M56" s="17">
        <f t="shared" si="8"/>
        <v>1.5126480967358982</v>
      </c>
      <c r="N56" s="17">
        <f t="shared" si="8"/>
        <v>1.5611435947172509</v>
      </c>
      <c r="O56" s="3"/>
      <c r="P56" s="3" t="str">
        <f>[4]!FormDisp(J56)</f>
        <v>=I56*(1+J45)</v>
      </c>
      <c r="Q56" s="3"/>
      <c r="R56" s="3"/>
      <c r="S56" s="3"/>
      <c r="T56" s="3"/>
      <c r="U56" s="3"/>
      <c r="V56" s="3"/>
    </row>
    <row r="57" spans="1:22" ht="15">
      <c r="A57" s="1">
        <f t="shared" si="0"/>
        <v>57</v>
      </c>
      <c r="B57" s="6" t="s">
        <v>16</v>
      </c>
      <c r="C57" s="4"/>
      <c r="D57" s="1"/>
      <c r="E57" s="34"/>
      <c r="F57" s="17"/>
      <c r="G57" s="17"/>
      <c r="H57" s="17">
        <f>+H56*D5</f>
        <v>56.305269589880119</v>
      </c>
      <c r="I57" s="7"/>
      <c r="J57" s="25"/>
      <c r="K57" s="25"/>
      <c r="L57" s="3">
        <v>200</v>
      </c>
      <c r="M57" s="3"/>
      <c r="N57" s="3"/>
      <c r="O57" s="3"/>
      <c r="P57" s="3" t="str">
        <f>[4]!FormDisp(J57)</f>
        <v/>
      </c>
      <c r="Q57" s="3"/>
      <c r="R57" s="3"/>
      <c r="S57" s="3"/>
      <c r="T57" s="3"/>
      <c r="U57" s="3"/>
      <c r="V57" s="3"/>
    </row>
    <row r="58" spans="1:22" ht="15">
      <c r="A58" s="1">
        <f t="shared" si="0"/>
        <v>58</v>
      </c>
      <c r="B58" s="6" t="s">
        <v>17</v>
      </c>
      <c r="C58" s="4"/>
      <c r="D58" s="1"/>
      <c r="E58" s="19">
        <f t="shared" ref="E58:N58" si="9">+E59+E26</f>
        <v>7.7140000000000153E-2</v>
      </c>
      <c r="F58" s="19">
        <f t="shared" si="9"/>
        <v>8.2317499999999891E-2</v>
      </c>
      <c r="G58" s="19">
        <f t="shared" si="9"/>
        <v>9.233999999999995E-2</v>
      </c>
      <c r="H58" s="19">
        <f t="shared" si="9"/>
        <v>5.7474999999999998E-2</v>
      </c>
      <c r="I58" s="19">
        <f t="shared" si="9"/>
        <v>6.2604999999999855E-2</v>
      </c>
      <c r="J58" s="19">
        <f t="shared" si="9"/>
        <v>6.1017500000000127E-2</v>
      </c>
      <c r="K58" s="19">
        <f t="shared" si="9"/>
        <v>5.1757499999999859E-2</v>
      </c>
      <c r="L58" s="19">
        <f t="shared" si="9"/>
        <v>4.6657499999999977E-2</v>
      </c>
      <c r="M58" s="19">
        <f t="shared" si="9"/>
        <v>4.6657499999999977E-2</v>
      </c>
      <c r="N58" s="19">
        <f t="shared" si="9"/>
        <v>4.6657499999999977E-2</v>
      </c>
      <c r="O58" s="3"/>
      <c r="P58" s="3" t="str">
        <f>[4]!FormDisp(J58)</f>
        <v>=+J59+J26</v>
      </c>
      <c r="Q58" s="3"/>
      <c r="R58" s="3"/>
      <c r="S58" s="3"/>
      <c r="T58" s="3"/>
      <c r="U58" s="3"/>
      <c r="V58" s="3"/>
    </row>
    <row r="59" spans="1:22" ht="15">
      <c r="A59" s="1">
        <f t="shared" si="0"/>
        <v>59</v>
      </c>
      <c r="B59" s="33" t="s">
        <v>19</v>
      </c>
      <c r="C59" s="4"/>
      <c r="D59" s="1"/>
      <c r="E59" s="19">
        <f t="shared" ref="E59:J59" si="10">((1+E17)*(1+E24)-1)</f>
        <v>8.1200000000000161E-2</v>
      </c>
      <c r="F59" s="19">
        <f t="shared" si="10"/>
        <v>8.6649999999999894E-2</v>
      </c>
      <c r="G59" s="19">
        <f t="shared" si="10"/>
        <v>9.7199999999999953E-2</v>
      </c>
      <c r="H59" s="19">
        <f t="shared" si="10"/>
        <v>6.0499999999999998E-2</v>
      </c>
      <c r="I59" s="19">
        <f t="shared" si="10"/>
        <v>6.5899999999999848E-2</v>
      </c>
      <c r="J59" s="19">
        <f t="shared" si="10"/>
        <v>6.4960000000000129E-2</v>
      </c>
      <c r="K59" s="19">
        <f>((1+K17)*(1+$E$24)-1)</f>
        <v>5.5699999999999861E-2</v>
      </c>
      <c r="L59" s="19">
        <f>((1+L17)*(1+$E$24)-1)</f>
        <v>5.0599999999999978E-2</v>
      </c>
      <c r="M59" s="19">
        <f>((1+M17)*(1+$E$24)-1)</f>
        <v>5.0599999999999978E-2</v>
      </c>
      <c r="N59" s="19">
        <f>((1+N17)*(1+$E$24)-1)</f>
        <v>5.0599999999999978E-2</v>
      </c>
      <c r="O59" s="3"/>
      <c r="P59" s="3" t="str">
        <f>[4]!FormDisp(J59)</f>
        <v>=((1+J17)*(1+J24)-1)</v>
      </c>
      <c r="Q59" s="3"/>
      <c r="R59" s="3"/>
      <c r="S59" s="3"/>
      <c r="T59" s="3"/>
      <c r="U59" s="3"/>
      <c r="V59" s="3"/>
    </row>
    <row r="60" spans="1:22" ht="30">
      <c r="A60" s="1">
        <f t="shared" si="0"/>
        <v>60</v>
      </c>
      <c r="B60" s="33" t="s">
        <v>18</v>
      </c>
      <c r="C60" s="4"/>
      <c r="D60" s="1"/>
      <c r="E60" s="19">
        <f t="shared" ref="E60:N60" si="11">E59+E25</f>
        <v>0.13120000000000015</v>
      </c>
      <c r="F60" s="19">
        <f t="shared" si="11"/>
        <v>0.13584999999999989</v>
      </c>
      <c r="G60" s="19">
        <f t="shared" si="11"/>
        <v>0.15019999999999994</v>
      </c>
      <c r="H60" s="19">
        <f t="shared" si="11"/>
        <v>0.11249999999999999</v>
      </c>
      <c r="I60" s="19">
        <f t="shared" si="11"/>
        <v>0.11489999999999985</v>
      </c>
      <c r="J60" s="19">
        <f t="shared" si="11"/>
        <v>0.1157600000000001</v>
      </c>
      <c r="K60" s="19">
        <f t="shared" si="11"/>
        <v>0.10649999999999983</v>
      </c>
      <c r="L60" s="19">
        <f t="shared" si="11"/>
        <v>0.10139999999999995</v>
      </c>
      <c r="M60" s="19">
        <f t="shared" si="11"/>
        <v>0.10139999999999995</v>
      </c>
      <c r="N60" s="19">
        <f t="shared" si="11"/>
        <v>0.10139999999999995</v>
      </c>
      <c r="O60" s="3"/>
      <c r="P60" s="3" t="str">
        <f>[4]!FormDisp(J60)</f>
        <v>=J59+J25</v>
      </c>
      <c r="Q60" s="3"/>
      <c r="R60" s="3"/>
      <c r="S60" s="3"/>
      <c r="T60" s="3"/>
      <c r="U60" s="3"/>
      <c r="V60" s="3"/>
    </row>
    <row r="61" spans="1:22" ht="15">
      <c r="A61" s="1">
        <f t="shared" si="0"/>
        <v>61</v>
      </c>
      <c r="B61" s="6" t="s">
        <v>333</v>
      </c>
      <c r="C61" s="4"/>
      <c r="D61" s="1"/>
      <c r="E61" s="1"/>
      <c r="F61" s="1"/>
      <c r="G61" s="1"/>
      <c r="H61" s="1"/>
      <c r="I61" s="1"/>
      <c r="J61" s="61">
        <f>+J33*J95</f>
        <v>14.771840894089262</v>
      </c>
      <c r="K61" s="61">
        <f>+K33*K95</f>
        <v>15.681110975377685</v>
      </c>
      <c r="L61" s="61">
        <f>+L33*L95</f>
        <v>16.565933372676433</v>
      </c>
      <c r="M61" s="61">
        <f>+M33*M95</f>
        <v>17.500682760224198</v>
      </c>
      <c r="N61" s="61">
        <f>+N33*N95</f>
        <v>18.488176318466387</v>
      </c>
      <c r="O61" s="3"/>
      <c r="P61" s="3" t="str">
        <f>[4]!FormDisp(J61)</f>
        <v>=+J33*J95</v>
      </c>
      <c r="Q61" s="3"/>
      <c r="R61" s="3"/>
      <c r="S61" s="3"/>
      <c r="T61" s="3"/>
      <c r="U61" s="3"/>
      <c r="V61" s="3"/>
    </row>
    <row r="62" spans="1:22" ht="15">
      <c r="A62" s="1">
        <f t="shared" si="0"/>
        <v>62</v>
      </c>
      <c r="B62" s="112" t="s">
        <v>20</v>
      </c>
      <c r="C62" s="4"/>
      <c r="D62" s="1"/>
      <c r="E62" s="1"/>
      <c r="F62" s="1"/>
      <c r="G62" s="1"/>
      <c r="H62" s="1"/>
      <c r="I62" s="1"/>
      <c r="J62" s="25"/>
      <c r="K62" s="25"/>
      <c r="L62" s="3"/>
      <c r="M62" s="3"/>
      <c r="N62" s="3"/>
      <c r="O62" s="3"/>
      <c r="P62" s="3" t="str">
        <f>[4]!FormDisp(J62)</f>
        <v/>
      </c>
      <c r="Q62" s="3"/>
      <c r="R62" s="3"/>
      <c r="S62" s="3"/>
      <c r="T62" s="3"/>
      <c r="U62" s="3"/>
      <c r="V62" s="3"/>
    </row>
    <row r="63" spans="1:22" ht="15">
      <c r="A63" s="1">
        <f t="shared" si="0"/>
        <v>63</v>
      </c>
      <c r="B63" s="6"/>
      <c r="C63" s="41" t="s">
        <v>70</v>
      </c>
      <c r="D63" s="41">
        <v>0</v>
      </c>
      <c r="E63" s="41">
        <v>1</v>
      </c>
      <c r="F63" s="41">
        <v>2</v>
      </c>
      <c r="G63" s="41">
        <v>3</v>
      </c>
      <c r="H63" s="41">
        <v>4</v>
      </c>
      <c r="I63" s="41">
        <v>5</v>
      </c>
      <c r="J63" s="75"/>
      <c r="K63" s="75"/>
      <c r="L63" s="3"/>
      <c r="M63" s="3"/>
      <c r="N63" s="3"/>
      <c r="O63" s="3"/>
      <c r="P63" s="3" t="str">
        <f>[4]!FormDisp(J63)</f>
        <v/>
      </c>
      <c r="Q63" s="3"/>
      <c r="R63" s="3"/>
      <c r="S63" s="3"/>
      <c r="T63" s="3"/>
      <c r="U63" s="3"/>
      <c r="V63" s="3"/>
    </row>
    <row r="64" spans="1:22" ht="15">
      <c r="A64" s="1">
        <f t="shared" si="0"/>
        <v>64</v>
      </c>
      <c r="B64" s="6" t="s">
        <v>21</v>
      </c>
      <c r="C64" s="4"/>
      <c r="D64" s="3"/>
      <c r="E64" s="7">
        <f t="shared" ref="E64:N64" si="12">+D68</f>
        <v>45</v>
      </c>
      <c r="F64" s="7">
        <f t="shared" si="12"/>
        <v>33.75</v>
      </c>
      <c r="G64" s="7">
        <f t="shared" si="12"/>
        <v>22.5</v>
      </c>
      <c r="H64" s="7">
        <f t="shared" si="12"/>
        <v>11.25</v>
      </c>
      <c r="I64" s="7">
        <f t="shared" si="12"/>
        <v>56.305269589880119</v>
      </c>
      <c r="J64" s="7">
        <f>+I68</f>
        <v>42.228952192410091</v>
      </c>
      <c r="K64" s="7">
        <f t="shared" si="12"/>
        <v>28.152634794940063</v>
      </c>
      <c r="L64" s="7">
        <f t="shared" si="12"/>
        <v>14.076317397470033</v>
      </c>
      <c r="M64" s="7">
        <f t="shared" si="12"/>
        <v>200</v>
      </c>
      <c r="N64" s="7">
        <f t="shared" si="12"/>
        <v>150</v>
      </c>
      <c r="O64" s="3"/>
      <c r="P64" s="3" t="str">
        <f>[4]!FormDisp(J64)</f>
        <v>=+I68</v>
      </c>
      <c r="Q64" s="3"/>
      <c r="R64" s="3"/>
      <c r="S64" s="3"/>
      <c r="T64" s="3"/>
      <c r="U64" s="3"/>
      <c r="V64" s="3"/>
    </row>
    <row r="65" spans="1:22" ht="15">
      <c r="A65" s="1">
        <f t="shared" si="0"/>
        <v>65</v>
      </c>
      <c r="B65" s="6" t="s">
        <v>22</v>
      </c>
      <c r="C65" s="4"/>
      <c r="D65" s="3"/>
      <c r="E65" s="7">
        <f>$D$68/$D$6</f>
        <v>11.25</v>
      </c>
      <c r="F65" s="7">
        <f>$D$68/$D$6</f>
        <v>11.25</v>
      </c>
      <c r="G65" s="7">
        <f>$D$68/$D$6</f>
        <v>11.25</v>
      </c>
      <c r="H65" s="7">
        <f>$D$68/$D$6</f>
        <v>11.25</v>
      </c>
      <c r="I65" s="7">
        <f>(+H67)/$D$6</f>
        <v>14.07631739747003</v>
      </c>
      <c r="J65" s="7">
        <f>+I65</f>
        <v>14.07631739747003</v>
      </c>
      <c r="K65" s="7">
        <f>+J65</f>
        <v>14.07631739747003</v>
      </c>
      <c r="L65" s="7">
        <f>+K65</f>
        <v>14.07631739747003</v>
      </c>
      <c r="M65" s="7">
        <f>+L67/4</f>
        <v>50</v>
      </c>
      <c r="N65" s="7">
        <f>+M65</f>
        <v>50</v>
      </c>
      <c r="O65" s="3"/>
      <c r="P65" s="3" t="str">
        <f>[4]!FormDisp(J65)</f>
        <v>=+I65</v>
      </c>
      <c r="Q65" s="3"/>
      <c r="R65" s="3"/>
      <c r="S65" s="3"/>
      <c r="T65" s="3"/>
      <c r="U65" s="3"/>
      <c r="V65" s="3"/>
    </row>
    <row r="66" spans="1:22" ht="15">
      <c r="A66" s="1">
        <f t="shared" si="0"/>
        <v>66</v>
      </c>
      <c r="B66" s="6" t="s">
        <v>23</v>
      </c>
      <c r="C66" s="4"/>
      <c r="D66" s="3"/>
      <c r="E66" s="7">
        <f t="shared" ref="E66:N66" si="13">+E65+D66</f>
        <v>11.25</v>
      </c>
      <c r="F66" s="7">
        <f t="shared" si="13"/>
        <v>22.5</v>
      </c>
      <c r="G66" s="7">
        <f t="shared" si="13"/>
        <v>33.75</v>
      </c>
      <c r="H66" s="7">
        <f t="shared" si="13"/>
        <v>45</v>
      </c>
      <c r="I66" s="7">
        <f t="shared" si="13"/>
        <v>59.076317397470028</v>
      </c>
      <c r="J66" s="7">
        <f>+J65+I66</f>
        <v>73.152634794940056</v>
      </c>
      <c r="K66" s="7">
        <f t="shared" si="13"/>
        <v>87.228952192410091</v>
      </c>
      <c r="L66" s="7">
        <f t="shared" si="13"/>
        <v>101.30526958988013</v>
      </c>
      <c r="M66" s="7">
        <f t="shared" si="13"/>
        <v>151.30526958988014</v>
      </c>
      <c r="N66" s="7">
        <f t="shared" si="13"/>
        <v>201.30526958988014</v>
      </c>
      <c r="O66" s="3"/>
      <c r="P66" s="3" t="str">
        <f>[4]!FormDisp(J66)</f>
        <v>=+J65+I66</v>
      </c>
      <c r="Q66" s="3"/>
      <c r="R66" s="3"/>
      <c r="S66" s="3"/>
      <c r="T66" s="3"/>
      <c r="U66" s="3"/>
      <c r="V66" s="3"/>
    </row>
    <row r="67" spans="1:22" ht="15">
      <c r="A67" s="1">
        <f t="shared" ref="A67:A131" si="14">ROW(B67)</f>
        <v>67</v>
      </c>
      <c r="B67" s="6" t="s">
        <v>24</v>
      </c>
      <c r="C67" s="4"/>
      <c r="D67" s="7">
        <f t="shared" ref="D67:I67" si="15">D57</f>
        <v>0</v>
      </c>
      <c r="E67" s="7">
        <f t="shared" si="15"/>
        <v>0</v>
      </c>
      <c r="F67" s="7">
        <f t="shared" si="15"/>
        <v>0</v>
      </c>
      <c r="G67" s="7">
        <f t="shared" si="15"/>
        <v>0</v>
      </c>
      <c r="H67" s="7">
        <f t="shared" si="15"/>
        <v>56.305269589880119</v>
      </c>
      <c r="I67" s="7">
        <f t="shared" si="15"/>
        <v>0</v>
      </c>
      <c r="J67" s="7">
        <f>J57</f>
        <v>0</v>
      </c>
      <c r="K67" s="7">
        <f>K57</f>
        <v>0</v>
      </c>
      <c r="L67" s="7">
        <f>L57</f>
        <v>200</v>
      </c>
      <c r="M67" s="7">
        <f>M57</f>
        <v>0</v>
      </c>
      <c r="N67" s="7">
        <f>N57</f>
        <v>0</v>
      </c>
      <c r="O67" s="3"/>
      <c r="P67" s="3" t="str">
        <f>[4]!FormDisp(J67)</f>
        <v>=J57</v>
      </c>
      <c r="Q67" s="3"/>
      <c r="R67" s="3"/>
      <c r="S67" s="3"/>
      <c r="T67" s="3"/>
      <c r="U67" s="3"/>
      <c r="V67" s="3"/>
    </row>
    <row r="68" spans="1:22" ht="15">
      <c r="A68" s="1">
        <f t="shared" si="14"/>
        <v>68</v>
      </c>
      <c r="B68" s="6" t="s">
        <v>25</v>
      </c>
      <c r="C68" s="4"/>
      <c r="D68" s="7">
        <f>+D5+D67</f>
        <v>45</v>
      </c>
      <c r="E68" s="7">
        <f t="shared" ref="E68:N68" si="16">+E64-E65+E67</f>
        <v>33.75</v>
      </c>
      <c r="F68" s="7">
        <f t="shared" si="16"/>
        <v>22.5</v>
      </c>
      <c r="G68" s="7">
        <f t="shared" si="16"/>
        <v>11.25</v>
      </c>
      <c r="H68" s="7">
        <f t="shared" si="16"/>
        <v>56.305269589880119</v>
      </c>
      <c r="I68" s="7">
        <f t="shared" si="16"/>
        <v>42.228952192410091</v>
      </c>
      <c r="J68" s="7">
        <f t="shared" si="16"/>
        <v>28.152634794940063</v>
      </c>
      <c r="K68" s="7">
        <f t="shared" si="16"/>
        <v>14.076317397470033</v>
      </c>
      <c r="L68" s="7">
        <f t="shared" si="16"/>
        <v>200</v>
      </c>
      <c r="M68" s="7">
        <f t="shared" si="16"/>
        <v>150</v>
      </c>
      <c r="N68" s="7">
        <f t="shared" si="16"/>
        <v>100</v>
      </c>
      <c r="O68" s="3"/>
      <c r="P68" s="3" t="str">
        <f>[4]!FormDisp(J68)</f>
        <v>=+J64-J65+J67</v>
      </c>
      <c r="Q68" s="3"/>
      <c r="R68" s="3"/>
      <c r="S68" s="3"/>
      <c r="T68" s="3"/>
      <c r="U68" s="3"/>
      <c r="V68" s="3"/>
    </row>
    <row r="69" spans="1:22" ht="12.75">
      <c r="A69" s="1">
        <f t="shared" si="14"/>
        <v>69</v>
      </c>
      <c r="B69" s="38"/>
      <c r="C69" s="4"/>
      <c r="D69" s="7"/>
      <c r="E69" s="7"/>
      <c r="F69" s="7"/>
      <c r="G69" s="7"/>
      <c r="H69" s="7"/>
      <c r="I69" s="7"/>
      <c r="J69" s="25"/>
      <c r="K69" s="25"/>
      <c r="L69" s="3"/>
      <c r="M69" s="3"/>
      <c r="N69" s="3"/>
      <c r="O69" s="3"/>
      <c r="P69" s="3" t="str">
        <f>[4]!FormDisp(J69)</f>
        <v/>
      </c>
      <c r="Q69" s="3"/>
      <c r="R69" s="3"/>
      <c r="S69" s="3"/>
      <c r="T69" s="3"/>
      <c r="U69" s="3"/>
      <c r="V69" s="3"/>
    </row>
    <row r="70" spans="1:22" ht="15">
      <c r="A70" s="1">
        <f t="shared" si="14"/>
        <v>70</v>
      </c>
      <c r="B70" s="112" t="s">
        <v>67</v>
      </c>
      <c r="C70" s="4"/>
      <c r="D70" s="7"/>
      <c r="E70" s="7"/>
      <c r="F70" s="7"/>
      <c r="G70" s="7"/>
      <c r="H70" s="7"/>
      <c r="I70" s="7"/>
      <c r="J70" s="25"/>
      <c r="K70" s="25"/>
      <c r="L70" s="3"/>
      <c r="M70" s="3"/>
      <c r="N70" s="3"/>
      <c r="O70" s="3"/>
      <c r="P70" s="3" t="str">
        <f>[4]!FormDisp(J70)</f>
        <v/>
      </c>
      <c r="Q70" s="3"/>
      <c r="R70" s="3"/>
      <c r="S70" s="3"/>
      <c r="T70" s="3"/>
      <c r="U70" s="3"/>
      <c r="V70" s="3"/>
    </row>
    <row r="71" spans="1:22" ht="15">
      <c r="A71" s="1">
        <f t="shared" si="14"/>
        <v>71</v>
      </c>
      <c r="B71" s="6" t="s">
        <v>26</v>
      </c>
      <c r="C71" s="68" t="s">
        <v>70</v>
      </c>
      <c r="D71" s="68">
        <v>0</v>
      </c>
      <c r="E71" s="68">
        <v>1</v>
      </c>
      <c r="F71" s="68">
        <v>2</v>
      </c>
      <c r="G71" s="68">
        <v>3</v>
      </c>
      <c r="H71" s="68">
        <v>4</v>
      </c>
      <c r="I71" s="68">
        <v>5</v>
      </c>
      <c r="J71" s="75"/>
      <c r="K71" s="75"/>
      <c r="L71" s="3"/>
      <c r="M71" s="3"/>
      <c r="N71" s="3"/>
      <c r="O71" s="3"/>
      <c r="P71" s="3" t="str">
        <f>[4]!FormDisp(J71)</f>
        <v/>
      </c>
      <c r="Q71" s="3"/>
      <c r="R71" s="3"/>
      <c r="S71" s="3"/>
      <c r="T71" s="3"/>
      <c r="U71" s="3"/>
      <c r="V71" s="3"/>
    </row>
    <row r="72" spans="1:22" ht="15">
      <c r="A72" s="1">
        <f t="shared" si="14"/>
        <v>72</v>
      </c>
      <c r="B72" s="6" t="s">
        <v>27</v>
      </c>
      <c r="C72" s="4"/>
      <c r="D72" s="7">
        <v>0</v>
      </c>
      <c r="E72" s="7">
        <f t="shared" ref="E72:N72" si="17">+E51</f>
        <v>51</v>
      </c>
      <c r="F72" s="7">
        <f t="shared" si="17"/>
        <v>51.408000000000001</v>
      </c>
      <c r="G72" s="7">
        <f t="shared" si="17"/>
        <v>52.281935999999995</v>
      </c>
      <c r="H72" s="7">
        <f t="shared" si="17"/>
        <v>53.066165039999987</v>
      </c>
      <c r="I72" s="7">
        <f t="shared" si="17"/>
        <v>54.180554505839979</v>
      </c>
      <c r="J72" s="7">
        <f t="shared" si="17"/>
        <v>55.00680796205404</v>
      </c>
      <c r="K72" s="7">
        <f t="shared" si="17"/>
        <v>55.845661783475364</v>
      </c>
      <c r="L72" s="7">
        <f t="shared" si="17"/>
        <v>56.697308125673366</v>
      </c>
      <c r="M72" s="7">
        <f t="shared" si="17"/>
        <v>57.561942074589886</v>
      </c>
      <c r="N72" s="7">
        <f t="shared" si="17"/>
        <v>58.439761691227382</v>
      </c>
      <c r="O72" s="3"/>
      <c r="P72" s="3" t="str">
        <f>[4]!FormDisp(J72)</f>
        <v>=+J51</v>
      </c>
      <c r="Q72" s="3"/>
      <c r="R72" s="3"/>
      <c r="S72" s="3"/>
      <c r="T72" s="3"/>
      <c r="U72" s="3"/>
      <c r="V72" s="3"/>
    </row>
    <row r="73" spans="1:22" ht="15">
      <c r="A73" s="1">
        <f t="shared" si="14"/>
        <v>73</v>
      </c>
      <c r="B73" s="6" t="s">
        <v>28</v>
      </c>
      <c r="C73" s="4"/>
      <c r="D73" s="7">
        <f>+D9</f>
        <v>4</v>
      </c>
      <c r="E73" s="7">
        <f t="shared" ref="E73:N73" si="18">E72*E29</f>
        <v>4.2499999999999982</v>
      </c>
      <c r="F73" s="7">
        <f t="shared" si="18"/>
        <v>4.1126399999999999</v>
      </c>
      <c r="G73" s="7">
        <f t="shared" si="18"/>
        <v>4.7053742399999994</v>
      </c>
      <c r="H73" s="7">
        <f t="shared" si="18"/>
        <v>4.5106240283999997</v>
      </c>
      <c r="I73" s="7">
        <f t="shared" si="18"/>
        <v>4.5511665784905588</v>
      </c>
      <c r="J73" s="7">
        <f t="shared" si="18"/>
        <v>3.2780747521298355</v>
      </c>
      <c r="K73" s="7">
        <f t="shared" si="18"/>
        <v>3.3280653920998158</v>
      </c>
      <c r="L73" s="7">
        <f t="shared" si="18"/>
        <v>3.378818389329338</v>
      </c>
      <c r="M73" s="7">
        <f t="shared" si="18"/>
        <v>3.4303453697666106</v>
      </c>
      <c r="N73" s="7">
        <f t="shared" si="18"/>
        <v>3.4826581366555511</v>
      </c>
      <c r="O73" s="3"/>
      <c r="P73" s="3" t="e">
        <f ca="1">[4]!FormDisp(J73)</f>
        <v>#NAME?</v>
      </c>
      <c r="Q73" s="3"/>
      <c r="R73" s="3"/>
      <c r="S73" s="3"/>
      <c r="T73" s="3"/>
      <c r="U73" s="3"/>
      <c r="V73" s="3"/>
    </row>
    <row r="74" spans="1:22" ht="15">
      <c r="A74" s="1">
        <f t="shared" si="14"/>
        <v>74</v>
      </c>
      <c r="B74" s="6" t="s">
        <v>29</v>
      </c>
      <c r="C74" s="4"/>
      <c r="D74" s="7">
        <f>C9</f>
        <v>0</v>
      </c>
      <c r="E74" s="7">
        <f t="shared" ref="E74:N74" si="19">D73</f>
        <v>4</v>
      </c>
      <c r="F74" s="7">
        <f t="shared" si="19"/>
        <v>4.2499999999999982</v>
      </c>
      <c r="G74" s="7">
        <f t="shared" si="19"/>
        <v>4.1126399999999999</v>
      </c>
      <c r="H74" s="7">
        <f t="shared" si="19"/>
        <v>4.7053742399999994</v>
      </c>
      <c r="I74" s="7">
        <f t="shared" si="19"/>
        <v>4.5106240283999997</v>
      </c>
      <c r="J74" s="7">
        <f>I73</f>
        <v>4.5511665784905588</v>
      </c>
      <c r="K74" s="7">
        <f t="shared" si="19"/>
        <v>3.2780747521298355</v>
      </c>
      <c r="L74" s="7">
        <f t="shared" si="19"/>
        <v>3.3280653920998158</v>
      </c>
      <c r="M74" s="7">
        <f t="shared" si="19"/>
        <v>3.378818389329338</v>
      </c>
      <c r="N74" s="7">
        <f t="shared" si="19"/>
        <v>3.4303453697666106</v>
      </c>
      <c r="O74" s="3"/>
      <c r="P74" s="3" t="str">
        <f>[4]!FormDisp(J74)</f>
        <v>=I73</v>
      </c>
      <c r="Q74" s="3"/>
      <c r="R74" s="3"/>
      <c r="S74" s="3"/>
      <c r="T74" s="3"/>
      <c r="U74" s="3"/>
      <c r="V74" s="3"/>
    </row>
    <row r="75" spans="1:22" ht="15">
      <c r="A75" s="1">
        <f t="shared" si="14"/>
        <v>75</v>
      </c>
      <c r="B75" s="6" t="s">
        <v>30</v>
      </c>
      <c r="C75" s="4"/>
      <c r="D75" s="7">
        <f t="shared" ref="D75:I75" si="20">D72+D73-D74</f>
        <v>4</v>
      </c>
      <c r="E75" s="7">
        <f t="shared" si="20"/>
        <v>51.25</v>
      </c>
      <c r="F75" s="7">
        <f t="shared" si="20"/>
        <v>51.27064</v>
      </c>
      <c r="G75" s="7">
        <f t="shared" si="20"/>
        <v>52.874670239999993</v>
      </c>
      <c r="H75" s="7">
        <f t="shared" si="20"/>
        <v>52.871414828399992</v>
      </c>
      <c r="I75" s="7">
        <f t="shared" si="20"/>
        <v>54.221097055930535</v>
      </c>
      <c r="J75" s="7">
        <f>J72+J73-J74</f>
        <v>53.733716135693314</v>
      </c>
      <c r="K75" s="7">
        <f>K72+K73-K74</f>
        <v>55.895652423445348</v>
      </c>
      <c r="L75" s="7">
        <f>L72+L73-L74</f>
        <v>56.74806112290289</v>
      </c>
      <c r="M75" s="7">
        <f>M72+M73-M74</f>
        <v>57.61346905502716</v>
      </c>
      <c r="N75" s="7">
        <f>N72+N73-N74</f>
        <v>58.492074458116321</v>
      </c>
      <c r="O75" s="3"/>
      <c r="P75" s="3" t="e">
        <f ca="1">[4]!FormDisp(J75)</f>
        <v>#NAME?</v>
      </c>
      <c r="Q75" s="3"/>
      <c r="R75" s="3"/>
      <c r="S75" s="3"/>
      <c r="T75" s="3"/>
      <c r="U75" s="3"/>
      <c r="V75" s="3"/>
    </row>
    <row r="76" spans="1:22" ht="15">
      <c r="A76" s="1">
        <f t="shared" si="14"/>
        <v>76</v>
      </c>
      <c r="B76" s="6" t="s">
        <v>31</v>
      </c>
      <c r="C76" s="4"/>
      <c r="D76" s="1"/>
      <c r="E76" s="42"/>
      <c r="F76" s="42"/>
      <c r="G76" s="42"/>
      <c r="H76" s="42"/>
      <c r="I76" s="42"/>
      <c r="J76" s="25"/>
      <c r="K76" s="25"/>
      <c r="L76" s="3"/>
      <c r="M76" s="3"/>
      <c r="N76" s="3"/>
      <c r="O76" s="3"/>
      <c r="P76" s="3" t="str">
        <f>[4]!FormDisp(J76)</f>
        <v/>
      </c>
      <c r="Q76" s="3"/>
      <c r="R76" s="3"/>
      <c r="S76" s="3"/>
      <c r="T76" s="3"/>
      <c r="U76" s="3"/>
      <c r="V76" s="3"/>
    </row>
    <row r="77" spans="1:22" ht="15">
      <c r="A77" s="1">
        <f t="shared" si="14"/>
        <v>77</v>
      </c>
      <c r="B77" s="6"/>
      <c r="C77" s="68" t="s">
        <v>70</v>
      </c>
      <c r="D77" s="68">
        <v>0</v>
      </c>
      <c r="E77" s="68">
        <v>1</v>
      </c>
      <c r="F77" s="68">
        <v>2</v>
      </c>
      <c r="G77" s="68">
        <v>3</v>
      </c>
      <c r="H77" s="68">
        <v>4</v>
      </c>
      <c r="I77" s="68">
        <v>5</v>
      </c>
      <c r="J77" s="75"/>
      <c r="K77" s="75"/>
      <c r="L77" s="3"/>
      <c r="M77" s="3"/>
      <c r="N77" s="3"/>
      <c r="O77" s="3"/>
      <c r="P77" s="3" t="str">
        <f>[4]!FormDisp(J77)</f>
        <v/>
      </c>
      <c r="Q77" s="3"/>
      <c r="R77" s="3"/>
      <c r="S77" s="3"/>
      <c r="T77" s="3"/>
      <c r="U77" s="3"/>
      <c r="V77" s="3"/>
    </row>
    <row r="78" spans="1:22" ht="15">
      <c r="A78" s="1">
        <f t="shared" si="14"/>
        <v>78</v>
      </c>
      <c r="B78" s="6" t="s">
        <v>30</v>
      </c>
      <c r="C78" s="4"/>
      <c r="D78" s="62">
        <f>+D9</f>
        <v>4</v>
      </c>
      <c r="E78" s="7">
        <f t="shared" ref="E78:N78" si="21">+E75</f>
        <v>51.25</v>
      </c>
      <c r="F78" s="7">
        <f t="shared" si="21"/>
        <v>51.27064</v>
      </c>
      <c r="G78" s="7">
        <f t="shared" si="21"/>
        <v>52.874670239999993</v>
      </c>
      <c r="H78" s="7">
        <f t="shared" si="21"/>
        <v>52.871414828399992</v>
      </c>
      <c r="I78" s="7">
        <f t="shared" si="21"/>
        <v>54.221097055930535</v>
      </c>
      <c r="J78" s="7">
        <f t="shared" si="21"/>
        <v>53.733716135693314</v>
      </c>
      <c r="K78" s="7">
        <f t="shared" si="21"/>
        <v>55.895652423445348</v>
      </c>
      <c r="L78" s="7">
        <f t="shared" si="21"/>
        <v>56.74806112290289</v>
      </c>
      <c r="M78" s="7">
        <f t="shared" si="21"/>
        <v>57.61346905502716</v>
      </c>
      <c r="N78" s="7">
        <f t="shared" si="21"/>
        <v>58.492074458116321</v>
      </c>
      <c r="O78" s="3"/>
      <c r="P78" s="3" t="e">
        <f ca="1">[4]!FormDisp(J78)</f>
        <v>#NAME?</v>
      </c>
      <c r="Q78" s="3"/>
      <c r="R78" s="3"/>
      <c r="S78" s="3"/>
      <c r="T78" s="3"/>
      <c r="U78" s="3"/>
      <c r="V78" s="3"/>
    </row>
    <row r="79" spans="1:22" ht="15">
      <c r="A79" s="1">
        <f t="shared" si="14"/>
        <v>79</v>
      </c>
      <c r="B79" s="6" t="s">
        <v>32</v>
      </c>
      <c r="C79" s="4"/>
      <c r="D79" s="36">
        <f>+D10</f>
        <v>5</v>
      </c>
      <c r="E79" s="36">
        <f t="shared" ref="E79:N79" si="22">+D79*(1+E42)</f>
        <v>5.3264999999999993</v>
      </c>
      <c r="F79" s="36">
        <f t="shared" si="22"/>
        <v>5.6531742449999989</v>
      </c>
      <c r="G79" s="36">
        <f t="shared" si="22"/>
        <v>6.0058475202743233</v>
      </c>
      <c r="H79" s="36">
        <f t="shared" si="22"/>
        <v>6.3376705957694801</v>
      </c>
      <c r="I79" s="36">
        <f t="shared" si="22"/>
        <v>6.6493572356694228</v>
      </c>
      <c r="J79" s="36">
        <f>+I79*(1+J42)</f>
        <v>6.9533658484842302</v>
      </c>
      <c r="K79" s="36">
        <f t="shared" si="22"/>
        <v>7.2363156882736748</v>
      </c>
      <c r="L79" s="36">
        <f t="shared" si="22"/>
        <v>7.4943988872959562</v>
      </c>
      <c r="M79" s="36">
        <f t="shared" si="22"/>
        <v>7.7616866236113671</v>
      </c>
      <c r="N79" s="36">
        <f t="shared" si="22"/>
        <v>8.038507177042467</v>
      </c>
      <c r="O79" s="3"/>
      <c r="P79" s="3" t="str">
        <f>[4]!FormDisp(J79)</f>
        <v>=+I79*(1+J42)</v>
      </c>
      <c r="Q79" s="3"/>
      <c r="R79" s="3"/>
      <c r="S79" s="3"/>
      <c r="T79" s="3"/>
      <c r="U79" s="3"/>
      <c r="V79" s="3"/>
    </row>
    <row r="80" spans="1:22" ht="12.75">
      <c r="A80" s="1">
        <f t="shared" si="14"/>
        <v>80</v>
      </c>
      <c r="B80" s="38"/>
      <c r="C80" s="4"/>
      <c r="D80" s="19"/>
      <c r="E80" s="30"/>
      <c r="F80" s="19"/>
      <c r="G80" s="19"/>
      <c r="H80" s="19"/>
      <c r="I80" s="19"/>
      <c r="J80" s="25"/>
      <c r="K80" s="25"/>
      <c r="L80" s="1"/>
      <c r="M80" s="1"/>
      <c r="N80" s="3"/>
      <c r="O80" s="3"/>
      <c r="P80" s="3" t="str">
        <f>[4]!FormDisp(J80)</f>
        <v/>
      </c>
      <c r="Q80" s="3"/>
      <c r="R80" s="3"/>
      <c r="S80" s="3"/>
      <c r="T80" s="3"/>
      <c r="U80" s="3"/>
      <c r="V80" s="3"/>
    </row>
    <row r="81" spans="1:22" ht="15">
      <c r="A81" s="1">
        <f t="shared" si="14"/>
        <v>81</v>
      </c>
      <c r="B81" s="112" t="s">
        <v>33</v>
      </c>
      <c r="C81" s="68" t="s">
        <v>70</v>
      </c>
      <c r="D81" s="68">
        <v>0</v>
      </c>
      <c r="E81" s="68">
        <v>1</v>
      </c>
      <c r="F81" s="68">
        <v>2</v>
      </c>
      <c r="G81" s="68">
        <v>3</v>
      </c>
      <c r="H81" s="68">
        <v>4</v>
      </c>
      <c r="I81" s="68">
        <v>5</v>
      </c>
      <c r="J81" s="75"/>
      <c r="K81" s="75"/>
      <c r="L81" s="1"/>
      <c r="M81" s="1"/>
      <c r="N81" s="3"/>
      <c r="O81" s="3"/>
      <c r="P81" s="3" t="str">
        <f>[4]!FormDisp(J81)</f>
        <v/>
      </c>
      <c r="Q81" s="3"/>
      <c r="R81" s="3"/>
      <c r="S81" s="3"/>
      <c r="T81" s="3"/>
      <c r="U81" s="3"/>
      <c r="V81" s="3"/>
    </row>
    <row r="82" spans="1:22" ht="15">
      <c r="A82" s="1">
        <f t="shared" si="14"/>
        <v>82</v>
      </c>
      <c r="B82" s="33" t="s">
        <v>36</v>
      </c>
      <c r="C82" s="4"/>
      <c r="D82" s="7">
        <f>+D74*D79</f>
        <v>0</v>
      </c>
      <c r="E82" s="7">
        <f t="shared" ref="E82:N82" si="23">+D84</f>
        <v>20</v>
      </c>
      <c r="F82" s="7">
        <f t="shared" si="23"/>
        <v>22.637624999999989</v>
      </c>
      <c r="G82" s="7">
        <f t="shared" si="23"/>
        <v>23.249470526956795</v>
      </c>
      <c r="H82" s="7">
        <f t="shared" si="23"/>
        <v>28.259760211266673</v>
      </c>
      <c r="I82" s="7">
        <f t="shared" si="23"/>
        <v>28.58684927336196</v>
      </c>
      <c r="J82" s="7">
        <f>+I84</f>
        <v>30.262332419423046</v>
      </c>
      <c r="K82" s="7">
        <f t="shared" si="23"/>
        <v>22.793653030238005</v>
      </c>
      <c r="L82" s="7">
        <f t="shared" si="23"/>
        <v>24.082931808452575</v>
      </c>
      <c r="M82" s="7">
        <f t="shared" si="23"/>
        <v>25.322212777364907</v>
      </c>
      <c r="N82" s="7">
        <f t="shared" si="23"/>
        <v>26.625265770884692</v>
      </c>
      <c r="O82" s="3"/>
      <c r="P82" s="3" t="str">
        <f>[4]!FormDisp(J82)</f>
        <v>=+I84</v>
      </c>
      <c r="Q82" s="3"/>
      <c r="R82" s="3"/>
      <c r="S82" s="3"/>
      <c r="T82" s="3"/>
      <c r="U82" s="3"/>
      <c r="V82" s="3"/>
    </row>
    <row r="83" spans="1:22" ht="15">
      <c r="A83" s="1">
        <f t="shared" si="14"/>
        <v>83</v>
      </c>
      <c r="B83" s="6" t="s">
        <v>34</v>
      </c>
      <c r="C83" s="4"/>
      <c r="D83" s="7">
        <f t="shared" ref="D83:I83" si="24">+D75*D79</f>
        <v>20</v>
      </c>
      <c r="E83" s="7">
        <f t="shared" si="24"/>
        <v>272.98312499999997</v>
      </c>
      <c r="F83" s="7">
        <f t="shared" si="24"/>
        <v>289.84186157266674</v>
      </c>
      <c r="G83" s="7">
        <f t="shared" si="24"/>
        <v>317.55720714622652</v>
      </c>
      <c r="H83" s="7">
        <f t="shared" si="24"/>
        <v>335.0816111146811</v>
      </c>
      <c r="I83" s="7">
        <f t="shared" si="24"/>
        <v>360.53544403478577</v>
      </c>
      <c r="J83" s="7">
        <f>+J75*J79</f>
        <v>373.6301866900759</v>
      </c>
      <c r="K83" s="7">
        <f>+K75*K79</f>
        <v>404.47858653807003</v>
      </c>
      <c r="L83" s="7">
        <f>+L75*L79</f>
        <v>425.2926061356863</v>
      </c>
      <c r="M83" s="7">
        <f>+M75*M79</f>
        <v>447.17769210425172</v>
      </c>
      <c r="N83" s="7">
        <f>+N75*N79</f>
        <v>470.18896033167039</v>
      </c>
      <c r="O83" s="3"/>
      <c r="P83" s="3" t="e">
        <f ca="1">[4]!FormDisp(J83)</f>
        <v>#NAME?</v>
      </c>
      <c r="Q83" s="3"/>
      <c r="R83" s="3"/>
      <c r="S83" s="3"/>
      <c r="T83" s="3"/>
      <c r="U83" s="3"/>
      <c r="V83" s="3"/>
    </row>
    <row r="84" spans="1:22" ht="15">
      <c r="A84" s="1">
        <f t="shared" si="14"/>
        <v>84</v>
      </c>
      <c r="B84" s="33" t="s">
        <v>35</v>
      </c>
      <c r="C84" s="4"/>
      <c r="D84" s="7">
        <f t="shared" ref="D84:I84" si="25">D79*D73</f>
        <v>20</v>
      </c>
      <c r="E84" s="7">
        <f t="shared" si="25"/>
        <v>22.637624999999989</v>
      </c>
      <c r="F84" s="7">
        <f t="shared" si="25"/>
        <v>23.249470526956795</v>
      </c>
      <c r="G84" s="7">
        <f t="shared" si="25"/>
        <v>28.259760211266673</v>
      </c>
      <c r="H84" s="7">
        <f t="shared" si="25"/>
        <v>28.58684927336196</v>
      </c>
      <c r="I84" s="7">
        <f t="shared" si="25"/>
        <v>30.262332419423046</v>
      </c>
      <c r="J84" s="7">
        <f>J79*J73</f>
        <v>22.793653030238005</v>
      </c>
      <c r="K84" s="7">
        <f>K79*K73</f>
        <v>24.082931808452575</v>
      </c>
      <c r="L84" s="7">
        <f>L79*L73</f>
        <v>25.322212777364907</v>
      </c>
      <c r="M84" s="7">
        <f>M79*M73</f>
        <v>26.625265770884692</v>
      </c>
      <c r="N84" s="7">
        <f>N79*N73</f>
        <v>27.995372426690992</v>
      </c>
      <c r="O84" s="3"/>
      <c r="P84" s="3" t="e">
        <f ca="1">[4]!FormDisp(J84)</f>
        <v>#NAME?</v>
      </c>
      <c r="Q84" s="3"/>
      <c r="R84" s="3"/>
      <c r="S84" s="3"/>
      <c r="T84" s="3"/>
      <c r="U84" s="3"/>
      <c r="V84" s="3"/>
    </row>
    <row r="85" spans="1:22" ht="15">
      <c r="A85" s="1">
        <f t="shared" si="14"/>
        <v>85</v>
      </c>
      <c r="B85" s="6" t="s">
        <v>37</v>
      </c>
      <c r="C85" s="4"/>
      <c r="D85" s="7">
        <f t="shared" ref="D85:I85" si="26">+D82+D83-D84</f>
        <v>0</v>
      </c>
      <c r="E85" s="7">
        <f t="shared" si="26"/>
        <v>270.34549999999996</v>
      </c>
      <c r="F85" s="7">
        <f t="shared" si="26"/>
        <v>289.23001604570999</v>
      </c>
      <c r="G85" s="7">
        <f t="shared" si="26"/>
        <v>312.54691746191662</v>
      </c>
      <c r="H85" s="7">
        <f t="shared" si="26"/>
        <v>334.7545220525858</v>
      </c>
      <c r="I85" s="7">
        <f t="shared" si="26"/>
        <v>358.85996088872469</v>
      </c>
      <c r="J85" s="7">
        <f>+J82+J83-J84</f>
        <v>381.09886607926092</v>
      </c>
      <c r="K85" s="7">
        <f>+K82+K83-K84</f>
        <v>403.18930775985541</v>
      </c>
      <c r="L85" s="7">
        <f>+L82+L83-L84</f>
        <v>424.05332516677402</v>
      </c>
      <c r="M85" s="7">
        <f>+M82+M83-M84</f>
        <v>445.87463911073189</v>
      </c>
      <c r="N85" s="7">
        <f>+N82+N83-N84</f>
        <v>468.81885367586409</v>
      </c>
      <c r="O85" s="3"/>
      <c r="P85" s="3" t="e">
        <f ca="1">[4]!FormDisp(J85)</f>
        <v>#NAME?</v>
      </c>
      <c r="Q85" s="3"/>
      <c r="R85" s="128">
        <f>4*0.4+3.9*0.6</f>
        <v>3.94</v>
      </c>
      <c r="S85" s="3"/>
      <c r="T85" s="3"/>
      <c r="U85" s="3"/>
      <c r="V85" s="3"/>
    </row>
    <row r="86" spans="1:22" ht="15">
      <c r="A86" s="1">
        <f>ROW(B86)</f>
        <v>86</v>
      </c>
      <c r="B86" s="6" t="s">
        <v>229</v>
      </c>
      <c r="C86" s="4"/>
      <c r="D86" s="7">
        <f>+D11</f>
        <v>22</v>
      </c>
      <c r="E86" s="7">
        <f t="shared" ref="E86:N86" si="27">D86*(1+E$43)</f>
        <v>23.436599999999999</v>
      </c>
      <c r="F86" s="7">
        <f t="shared" si="27"/>
        <v>24.972869129999999</v>
      </c>
      <c r="G86" s="7">
        <f t="shared" si="27"/>
        <v>26.4517624398786</v>
      </c>
      <c r="H86" s="7">
        <f t="shared" si="27"/>
        <v>27.99654536636751</v>
      </c>
      <c r="I86" s="7">
        <f t="shared" si="27"/>
        <v>29.607466586748295</v>
      </c>
      <c r="J86" s="7">
        <f t="shared" si="27"/>
        <v>31.053495254845082</v>
      </c>
      <c r="K86" s="7">
        <f t="shared" si="27"/>
        <v>32.413560713269156</v>
      </c>
      <c r="L86" s="7">
        <f t="shared" si="27"/>
        <v>33.669748258711898</v>
      </c>
      <c r="M86" s="7">
        <f t="shared" si="27"/>
        <v>34.974619352478271</v>
      </c>
      <c r="N86" s="7">
        <f t="shared" si="27"/>
        <v>36.330060725483563</v>
      </c>
      <c r="O86" s="3"/>
      <c r="P86" s="3" t="str">
        <f>[4]!FormDisp(J86)</f>
        <v>=I86*(1+J$43)</v>
      </c>
      <c r="Q86" s="3"/>
      <c r="R86" s="3"/>
      <c r="S86" s="3"/>
      <c r="T86" s="3"/>
      <c r="U86" s="3"/>
      <c r="V86" s="3"/>
    </row>
    <row r="87" spans="1:22" ht="15">
      <c r="A87" s="1">
        <f>ROW(B87)</f>
        <v>87</v>
      </c>
      <c r="B87" s="6"/>
      <c r="C87" s="68" t="s">
        <v>70</v>
      </c>
      <c r="D87" s="68">
        <v>0</v>
      </c>
      <c r="E87" s="68">
        <v>1</v>
      </c>
      <c r="F87" s="68">
        <v>2</v>
      </c>
      <c r="G87" s="68">
        <v>3</v>
      </c>
      <c r="H87" s="68">
        <v>4</v>
      </c>
      <c r="I87" s="68">
        <v>5</v>
      </c>
      <c r="J87" s="7"/>
      <c r="K87" s="7"/>
      <c r="L87" s="7"/>
      <c r="M87" s="7"/>
      <c r="N87" s="7"/>
      <c r="O87" s="3"/>
      <c r="P87" s="3" t="str">
        <f>[4]!FormDisp(J87)</f>
        <v/>
      </c>
      <c r="Q87" s="3"/>
      <c r="R87" s="3"/>
      <c r="S87" s="3"/>
      <c r="T87" s="3"/>
      <c r="U87" s="3"/>
      <c r="V87" s="3"/>
    </row>
    <row r="88" spans="1:22" ht="15">
      <c r="A88" s="1">
        <f t="shared" si="14"/>
        <v>88</v>
      </c>
      <c r="B88" s="6" t="s">
        <v>38</v>
      </c>
      <c r="J88" s="75"/>
      <c r="K88" s="75"/>
      <c r="L88" s="3"/>
      <c r="M88" s="9"/>
      <c r="N88" s="3"/>
      <c r="O88" s="3"/>
      <c r="P88" s="3" t="str">
        <f>[4]!FormDisp(J88)</f>
        <v/>
      </c>
      <c r="Q88" s="3"/>
      <c r="R88" s="3"/>
      <c r="S88" s="3"/>
      <c r="T88" s="3"/>
      <c r="U88" s="3"/>
      <c r="V88" s="3"/>
    </row>
    <row r="89" spans="1:22" ht="15">
      <c r="A89" s="1">
        <f t="shared" si="14"/>
        <v>89</v>
      </c>
      <c r="B89" s="6" t="s">
        <v>39</v>
      </c>
      <c r="C89" s="4"/>
      <c r="D89" s="1"/>
      <c r="E89" s="7">
        <f>+E53*$E$35</f>
        <v>15.257894400000003</v>
      </c>
      <c r="F89" s="7">
        <f>+F53*$E$35</f>
        <v>16.404339628164095</v>
      </c>
      <c r="G89" s="7">
        <f>+G53*$E$35</f>
        <v>17.776798040333684</v>
      </c>
      <c r="H89" s="7">
        <f>+H53*$E$35</f>
        <v>19.172969981623446</v>
      </c>
      <c r="I89" s="7">
        <f>+I53*$E$35</f>
        <v>20.620156492699568</v>
      </c>
      <c r="J89" s="7"/>
      <c r="K89" s="7"/>
      <c r="L89" s="7"/>
      <c r="M89" s="7"/>
      <c r="N89" s="7"/>
      <c r="O89" s="3"/>
      <c r="P89" s="3" t="str">
        <f>[4]!FormDisp(J89)</f>
        <v/>
      </c>
      <c r="Q89" s="3"/>
      <c r="R89" s="3"/>
      <c r="S89" s="3"/>
      <c r="T89" s="3"/>
      <c r="U89" s="3"/>
      <c r="V89" s="3"/>
    </row>
    <row r="90" spans="1:22" ht="15">
      <c r="A90" s="1">
        <f t="shared" si="14"/>
        <v>90</v>
      </c>
      <c r="B90" s="33" t="s">
        <v>279</v>
      </c>
      <c r="C90" s="4"/>
      <c r="D90" s="7">
        <f>+D12</f>
        <v>24</v>
      </c>
      <c r="E90" s="7">
        <f>D90*(1+E$44)</f>
        <v>25.821599999999997</v>
      </c>
      <c r="F90" s="7">
        <f>E90*(1+F$44)</f>
        <v>27.786623759999998</v>
      </c>
      <c r="G90" s="7">
        <f>F90*(1+G$44)</f>
        <v>29.608036947467998</v>
      </c>
      <c r="H90" s="7">
        <f>G90*(1+H$44)</f>
        <v>31.430411621584653</v>
      </c>
      <c r="I90" s="7">
        <f>H90*(1+I$44)</f>
        <v>33.107538385712402</v>
      </c>
      <c r="J90" s="7"/>
      <c r="K90" s="7"/>
      <c r="L90" s="7"/>
      <c r="M90" s="7"/>
      <c r="N90" s="7"/>
      <c r="O90" s="3"/>
      <c r="P90" s="3" t="str">
        <f>[4]!FormDisp(J90)</f>
        <v/>
      </c>
      <c r="Q90" s="3"/>
      <c r="R90" s="3"/>
      <c r="S90" s="3"/>
      <c r="T90" s="3"/>
      <c r="U90" s="3"/>
      <c r="V90" s="3"/>
    </row>
    <row r="91" spans="1:22" ht="15">
      <c r="A91" s="1">
        <f t="shared" si="14"/>
        <v>91</v>
      </c>
      <c r="B91" s="6" t="s">
        <v>372</v>
      </c>
      <c r="C91" s="4"/>
      <c r="D91" s="1"/>
      <c r="E91" s="7">
        <f>E53*$E$28</f>
        <v>11.443420800000002</v>
      </c>
      <c r="F91" s="7">
        <f>F53*$E$28</f>
        <v>12.303254721123071</v>
      </c>
      <c r="G91" s="7">
        <f>G53*$E$28</f>
        <v>13.332598530250262</v>
      </c>
      <c r="H91" s="7">
        <f>H53*$E$28</f>
        <v>14.379727486217584</v>
      </c>
      <c r="I91" s="7">
        <f>I53*$E$28</f>
        <v>15.465117369524673</v>
      </c>
      <c r="J91" s="7"/>
      <c r="K91" s="7"/>
      <c r="L91" s="7"/>
      <c r="M91" s="7"/>
      <c r="N91" s="7"/>
      <c r="O91" s="3"/>
      <c r="P91" s="3" t="str">
        <f>[4]!FormDisp(J91)</f>
        <v/>
      </c>
      <c r="Q91" s="3"/>
      <c r="R91" s="3"/>
      <c r="S91" s="3"/>
      <c r="T91" s="3"/>
      <c r="U91" s="3"/>
      <c r="V91" s="3"/>
    </row>
    <row r="92" spans="1:22" ht="15">
      <c r="A92" s="1">
        <f t="shared" si="14"/>
        <v>92</v>
      </c>
      <c r="B92" s="6" t="s">
        <v>38</v>
      </c>
      <c r="C92" s="4"/>
      <c r="D92" s="1"/>
      <c r="E92" s="7">
        <f>SUM(E89:E91)</f>
        <v>52.5229152</v>
      </c>
      <c r="F92" s="7">
        <f>SUM(F89:F91)</f>
        <v>56.494218109287161</v>
      </c>
      <c r="G92" s="7">
        <f>SUM(G89:G91)</f>
        <v>60.717433518051948</v>
      </c>
      <c r="H92" s="7">
        <f>SUM(H89:H91)</f>
        <v>64.983109089425682</v>
      </c>
      <c r="I92" s="7">
        <f>SUM(I89:I91)</f>
        <v>69.192812247936644</v>
      </c>
      <c r="J92" s="7">
        <f>+I92*(1+J44)</f>
        <v>73.336428320287823</v>
      </c>
      <c r="K92" s="7">
        <f>+J92*(1+K44)</f>
        <v>77.354491913615973</v>
      </c>
      <c r="L92" s="7">
        <f>+K92*(1+L44)</f>
        <v>81.198535409591571</v>
      </c>
      <c r="M92" s="7">
        <f>+L92*(1+M44)</f>
        <v>85.23360427504997</v>
      </c>
      <c r="N92" s="7">
        <f>+M92*(1+N44)</f>
        <v>89.469191298463571</v>
      </c>
      <c r="O92" s="3"/>
      <c r="P92" s="3" t="str">
        <f>[4]!FormDisp(J92)</f>
        <v>=+I92*(1+J44)</v>
      </c>
      <c r="Q92" s="3"/>
      <c r="R92" s="3"/>
      <c r="S92" s="3"/>
      <c r="T92" s="3"/>
      <c r="U92" s="3"/>
      <c r="V92" s="3"/>
    </row>
    <row r="93" spans="1:22" ht="15">
      <c r="A93" s="1">
        <f t="shared" si="14"/>
        <v>93</v>
      </c>
      <c r="B93" s="6"/>
      <c r="C93" s="4"/>
      <c r="D93" s="1"/>
      <c r="E93" s="7"/>
      <c r="F93" s="7"/>
      <c r="G93" s="7"/>
      <c r="H93" s="7"/>
      <c r="I93" s="7"/>
      <c r="J93" s="25"/>
      <c r="K93" s="25"/>
      <c r="L93" s="1"/>
      <c r="M93" s="3"/>
      <c r="N93" s="3"/>
      <c r="O93" s="3"/>
      <c r="P93" s="3" t="str">
        <f>[4]!FormDisp(J93)</f>
        <v/>
      </c>
      <c r="Q93" s="3"/>
      <c r="R93" s="3"/>
      <c r="S93" s="3"/>
      <c r="T93" s="3"/>
      <c r="U93" s="3"/>
      <c r="V93" s="3"/>
    </row>
    <row r="94" spans="1:22" ht="15">
      <c r="A94" s="1">
        <f t="shared" si="14"/>
        <v>94</v>
      </c>
      <c r="B94" s="112" t="s">
        <v>40</v>
      </c>
      <c r="C94" s="68" t="s">
        <v>70</v>
      </c>
      <c r="D94" s="68">
        <v>0</v>
      </c>
      <c r="E94" s="68">
        <v>1</v>
      </c>
      <c r="F94" s="68">
        <v>2</v>
      </c>
      <c r="G94" s="68">
        <v>3</v>
      </c>
      <c r="H94" s="68">
        <v>4</v>
      </c>
      <c r="I94" s="68">
        <v>5</v>
      </c>
      <c r="J94" s="75"/>
      <c r="K94" s="75"/>
      <c r="L94" s="3"/>
      <c r="M94" s="3"/>
      <c r="N94" s="3"/>
      <c r="O94" s="3"/>
      <c r="P94" s="3" t="str">
        <f>[4]!FormDisp(J94)</f>
        <v/>
      </c>
      <c r="Q94" s="3"/>
      <c r="R94" s="3"/>
      <c r="S94" s="3"/>
      <c r="T94" s="3"/>
      <c r="U94" s="3"/>
      <c r="V94" s="3"/>
    </row>
    <row r="95" spans="1:22" ht="15">
      <c r="A95" s="1">
        <f t="shared" si="14"/>
        <v>95</v>
      </c>
      <c r="B95" s="6" t="s">
        <v>41</v>
      </c>
      <c r="C95" s="4"/>
      <c r="D95" s="1"/>
      <c r="E95" s="7">
        <f t="shared" ref="E95:N95" si="28">+E53</f>
        <v>381.44736000000006</v>
      </c>
      <c r="F95" s="7">
        <f t="shared" si="28"/>
        <v>410.10849070410239</v>
      </c>
      <c r="G95" s="7">
        <f t="shared" si="28"/>
        <v>444.41995100834208</v>
      </c>
      <c r="H95" s="7">
        <f t="shared" si="28"/>
        <v>479.32424954058615</v>
      </c>
      <c r="I95" s="7">
        <f t="shared" si="28"/>
        <v>515.50391231748915</v>
      </c>
      <c r="J95" s="7">
        <f t="shared" si="28"/>
        <v>549.87903545835445</v>
      </c>
      <c r="K95" s="7">
        <f t="shared" si="28"/>
        <v>583.72644546329707</v>
      </c>
      <c r="L95" s="7">
        <f t="shared" si="28"/>
        <v>616.66379496949628</v>
      </c>
      <c r="M95" s="7">
        <f t="shared" si="28"/>
        <v>651.4596674206897</v>
      </c>
      <c r="N95" s="7">
        <f t="shared" si="28"/>
        <v>688.2189318360563</v>
      </c>
      <c r="O95" s="3"/>
      <c r="P95" s="3" t="str">
        <f>[4]!FormDisp(J95)</f>
        <v>=+J53</v>
      </c>
      <c r="Q95" s="3"/>
      <c r="R95" s="3"/>
      <c r="S95" s="3"/>
      <c r="T95" s="3"/>
      <c r="U95" s="3"/>
      <c r="V95" s="3"/>
    </row>
    <row r="96" spans="1:22" ht="15">
      <c r="A96" s="1">
        <f t="shared" si="14"/>
        <v>96</v>
      </c>
      <c r="B96" s="33" t="s">
        <v>42</v>
      </c>
      <c r="C96" s="4"/>
      <c r="D96" s="1"/>
      <c r="E96" s="7">
        <f>+E53*(1-E30)</f>
        <v>358.56051840000003</v>
      </c>
      <c r="F96" s="7">
        <f t="shared" ref="F96:M96" si="29">+F53*(1-F30)</f>
        <v>385.5019812618562</v>
      </c>
      <c r="G96" s="7">
        <f t="shared" si="29"/>
        <v>426.64315296800839</v>
      </c>
      <c r="H96" s="7">
        <f t="shared" si="29"/>
        <v>445.77155207274507</v>
      </c>
      <c r="I96" s="7">
        <f t="shared" si="29"/>
        <v>500.03879494796445</v>
      </c>
      <c r="J96" s="7">
        <f t="shared" si="29"/>
        <v>521.28532561452005</v>
      </c>
      <c r="K96" s="7">
        <f t="shared" si="29"/>
        <v>553.37267029920554</v>
      </c>
      <c r="L96" s="7">
        <f t="shared" si="29"/>
        <v>584.59727763108242</v>
      </c>
      <c r="M96" s="7">
        <f t="shared" si="29"/>
        <v>617.58376471481381</v>
      </c>
      <c r="N96" s="7">
        <f>+N53*(1-N30)</f>
        <v>652.43154738058138</v>
      </c>
      <c r="O96" s="3"/>
      <c r="P96" s="3" t="e">
        <f ca="1">[4]!FormDisp(J96)</f>
        <v>#NAME?</v>
      </c>
      <c r="Q96" s="3"/>
      <c r="R96" s="3"/>
      <c r="S96" s="3"/>
      <c r="T96" s="3"/>
      <c r="U96" s="3"/>
      <c r="V96" s="3"/>
    </row>
    <row r="97" spans="1:22" ht="15">
      <c r="A97" s="1">
        <f t="shared" si="14"/>
        <v>97</v>
      </c>
      <c r="B97" s="6" t="s">
        <v>43</v>
      </c>
      <c r="C97" s="4"/>
      <c r="D97" s="1"/>
      <c r="E97" s="7">
        <f t="shared" ref="E97:N97" si="30">+E95*E30</f>
        <v>22.886841600000004</v>
      </c>
      <c r="F97" s="7">
        <f t="shared" si="30"/>
        <v>24.606509442246143</v>
      </c>
      <c r="G97" s="7">
        <f t="shared" si="30"/>
        <v>17.776798040333684</v>
      </c>
      <c r="H97" s="7">
        <f t="shared" si="30"/>
        <v>33.552697467841035</v>
      </c>
      <c r="I97" s="7">
        <f t="shared" si="30"/>
        <v>15.465117369524673</v>
      </c>
      <c r="J97" s="7">
        <f t="shared" si="30"/>
        <v>28.593709843834436</v>
      </c>
      <c r="K97" s="7">
        <f t="shared" si="30"/>
        <v>30.353775164091449</v>
      </c>
      <c r="L97" s="7">
        <f t="shared" si="30"/>
        <v>32.06651733841381</v>
      </c>
      <c r="M97" s="7">
        <f t="shared" si="30"/>
        <v>33.875902705875866</v>
      </c>
      <c r="N97" s="7">
        <f t="shared" si="30"/>
        <v>35.787384455474928</v>
      </c>
      <c r="O97" s="3"/>
      <c r="P97" s="3" t="e">
        <f ca="1">[4]!FormDisp(J97)</f>
        <v>#NAME?</v>
      </c>
      <c r="Q97" s="3"/>
      <c r="R97" s="3"/>
      <c r="S97" s="3"/>
      <c r="T97" s="3"/>
      <c r="U97" s="3"/>
      <c r="V97" s="3"/>
    </row>
    <row r="98" spans="1:22" ht="15">
      <c r="A98" s="1">
        <f t="shared" si="14"/>
        <v>98</v>
      </c>
      <c r="B98" s="6" t="s">
        <v>44</v>
      </c>
      <c r="C98" s="4"/>
      <c r="D98" s="1"/>
      <c r="E98" s="7">
        <f t="shared" ref="E98:N98" si="31">+E83</f>
        <v>272.98312499999997</v>
      </c>
      <c r="F98" s="7">
        <f t="shared" si="31"/>
        <v>289.84186157266674</v>
      </c>
      <c r="G98" s="7">
        <f t="shared" si="31"/>
        <v>317.55720714622652</v>
      </c>
      <c r="H98" s="7">
        <f t="shared" si="31"/>
        <v>335.0816111146811</v>
      </c>
      <c r="I98" s="7">
        <f t="shared" si="31"/>
        <v>360.53544403478577</v>
      </c>
      <c r="J98" s="7">
        <f t="shared" si="31"/>
        <v>373.6301866900759</v>
      </c>
      <c r="K98" s="7">
        <f t="shared" si="31"/>
        <v>404.47858653807003</v>
      </c>
      <c r="L98" s="7">
        <f t="shared" si="31"/>
        <v>425.2926061356863</v>
      </c>
      <c r="M98" s="7">
        <f t="shared" si="31"/>
        <v>447.17769210425172</v>
      </c>
      <c r="N98" s="7">
        <f t="shared" si="31"/>
        <v>470.18896033167039</v>
      </c>
      <c r="O98" s="3"/>
      <c r="P98" s="3" t="e">
        <f ca="1">[4]!FormDisp(J98)</f>
        <v>#NAME?</v>
      </c>
      <c r="Q98" s="3"/>
      <c r="R98" s="3"/>
      <c r="S98" s="3"/>
      <c r="T98" s="3"/>
      <c r="U98" s="3"/>
      <c r="V98" s="3"/>
    </row>
    <row r="99" spans="1:22" ht="15">
      <c r="A99" s="1">
        <f t="shared" si="14"/>
        <v>99</v>
      </c>
      <c r="B99" s="6" t="s">
        <v>45</v>
      </c>
      <c r="C99" s="4"/>
      <c r="D99" s="7">
        <f>+D83</f>
        <v>20</v>
      </c>
      <c r="E99" s="7">
        <f>+E83*(1-E31)</f>
        <v>245.68481249999999</v>
      </c>
      <c r="F99" s="7">
        <f t="shared" ref="F99:N99" si="32">+F83*(1-F31)</f>
        <v>257.95925679967343</v>
      </c>
      <c r="G99" s="7">
        <f t="shared" si="32"/>
        <v>279.45034228867934</v>
      </c>
      <c r="H99" s="7">
        <f t="shared" si="32"/>
        <v>311.62589833665339</v>
      </c>
      <c r="I99" s="7">
        <f t="shared" si="32"/>
        <v>331.69260851200295</v>
      </c>
      <c r="J99" s="7">
        <f t="shared" si="32"/>
        <v>338.13531895451871</v>
      </c>
      <c r="K99" s="7">
        <f t="shared" si="32"/>
        <v>366.05312081695337</v>
      </c>
      <c r="L99" s="7">
        <f t="shared" si="32"/>
        <v>384.88980855279613</v>
      </c>
      <c r="M99" s="7">
        <f t="shared" si="32"/>
        <v>404.69581135434782</v>
      </c>
      <c r="N99" s="7">
        <f t="shared" si="32"/>
        <v>425.52100910016173</v>
      </c>
      <c r="O99" s="3"/>
      <c r="P99" s="3" t="e">
        <f ca="1">[4]!FormDisp(J99)</f>
        <v>#NAME?</v>
      </c>
      <c r="Q99" s="3"/>
      <c r="R99" s="3"/>
      <c r="S99" s="3"/>
      <c r="T99" s="3"/>
      <c r="U99" s="3"/>
      <c r="V99" s="3"/>
    </row>
    <row r="100" spans="1:22" ht="15">
      <c r="A100" s="1">
        <f t="shared" si="14"/>
        <v>100</v>
      </c>
      <c r="B100" s="6" t="s">
        <v>46</v>
      </c>
      <c r="C100" s="4"/>
      <c r="D100" s="7">
        <f>D83-D99</f>
        <v>0</v>
      </c>
      <c r="E100" s="7">
        <f t="shared" ref="E100:N100" si="33">+E98-E99</f>
        <v>27.29831249999998</v>
      </c>
      <c r="F100" s="7">
        <f t="shared" si="33"/>
        <v>31.882604772993318</v>
      </c>
      <c r="G100" s="7">
        <f t="shared" si="33"/>
        <v>38.10686485754718</v>
      </c>
      <c r="H100" s="7">
        <f t="shared" si="33"/>
        <v>23.455712778027703</v>
      </c>
      <c r="I100" s="7">
        <f t="shared" si="33"/>
        <v>28.842835522782821</v>
      </c>
      <c r="J100" s="7">
        <f t="shared" si="33"/>
        <v>35.494867735557193</v>
      </c>
      <c r="K100" s="7">
        <f t="shared" si="33"/>
        <v>38.425465721116666</v>
      </c>
      <c r="L100" s="7">
        <f t="shared" si="33"/>
        <v>40.402797582890173</v>
      </c>
      <c r="M100" s="7">
        <f t="shared" si="33"/>
        <v>42.481880749903894</v>
      </c>
      <c r="N100" s="7">
        <f t="shared" si="33"/>
        <v>44.667951231508653</v>
      </c>
      <c r="O100" s="3"/>
      <c r="P100" s="3" t="e">
        <f ca="1">[4]!FormDisp(J100)</f>
        <v>#NAME?</v>
      </c>
      <c r="Q100" s="3"/>
      <c r="R100" s="3"/>
      <c r="S100" s="3"/>
      <c r="T100" s="3"/>
      <c r="U100" s="3"/>
      <c r="V100" s="3"/>
    </row>
    <row r="101" spans="1:22" ht="12.75">
      <c r="A101" s="1">
        <f t="shared" si="14"/>
        <v>101</v>
      </c>
      <c r="B101" s="3"/>
      <c r="C101" s="3"/>
      <c r="D101" s="3"/>
      <c r="E101" s="3"/>
      <c r="F101" s="3"/>
      <c r="G101" s="3"/>
      <c r="H101" s="3"/>
      <c r="I101" s="3"/>
      <c r="J101" s="25"/>
      <c r="K101" s="25"/>
      <c r="L101" s="3"/>
      <c r="M101" s="3"/>
      <c r="N101" s="3"/>
      <c r="O101" s="3"/>
      <c r="P101" s="3" t="str">
        <f>[4]!FormDisp(J101)</f>
        <v/>
      </c>
      <c r="Q101" s="3"/>
      <c r="R101" s="3"/>
      <c r="S101" s="3"/>
      <c r="T101" s="3"/>
      <c r="U101" s="3"/>
      <c r="V101" s="3"/>
    </row>
    <row r="102" spans="1:22" ht="15">
      <c r="A102" s="1">
        <f t="shared" si="14"/>
        <v>102</v>
      </c>
      <c r="B102" s="112" t="s">
        <v>47</v>
      </c>
      <c r="C102" s="68" t="s">
        <v>70</v>
      </c>
      <c r="D102" s="68">
        <v>0</v>
      </c>
      <c r="E102" s="68">
        <v>1</v>
      </c>
      <c r="F102" s="68">
        <v>2</v>
      </c>
      <c r="G102" s="68">
        <v>3</v>
      </c>
      <c r="H102" s="68">
        <v>4</v>
      </c>
      <c r="I102" s="68">
        <v>5</v>
      </c>
      <c r="J102" s="25"/>
      <c r="K102" s="25"/>
      <c r="L102" s="3"/>
      <c r="M102" s="3"/>
      <c r="N102" s="3"/>
      <c r="O102" s="3"/>
      <c r="P102" s="3" t="str">
        <f>[4]!FormDisp(J102)</f>
        <v/>
      </c>
      <c r="Q102" s="3"/>
      <c r="R102" s="3"/>
      <c r="S102" s="3"/>
      <c r="T102" s="3"/>
      <c r="U102" s="3"/>
      <c r="V102" s="3"/>
    </row>
    <row r="103" spans="1:22" ht="15">
      <c r="A103" s="1">
        <f t="shared" si="14"/>
        <v>103</v>
      </c>
      <c r="B103" s="33" t="s">
        <v>42</v>
      </c>
      <c r="C103" s="4"/>
      <c r="D103" s="7">
        <f t="shared" ref="D103:I103" si="34">+D96</f>
        <v>0</v>
      </c>
      <c r="E103" s="7">
        <f t="shared" si="34"/>
        <v>358.56051840000003</v>
      </c>
      <c r="F103" s="7">
        <f t="shared" si="34"/>
        <v>385.5019812618562</v>
      </c>
      <c r="G103" s="7">
        <f t="shared" si="34"/>
        <v>426.64315296800839</v>
      </c>
      <c r="H103" s="7">
        <f t="shared" si="34"/>
        <v>445.77155207274507</v>
      </c>
      <c r="I103" s="7">
        <f t="shared" si="34"/>
        <v>500.03879494796445</v>
      </c>
      <c r="J103" s="7">
        <f>+J96</f>
        <v>521.28532561452005</v>
      </c>
      <c r="K103" s="7">
        <f>+K96</f>
        <v>553.37267029920554</v>
      </c>
      <c r="L103" s="7">
        <f>+L96</f>
        <v>584.59727763108242</v>
      </c>
      <c r="M103" s="7">
        <f>+M96</f>
        <v>617.58376471481381</v>
      </c>
      <c r="N103" s="7">
        <f>+N96</f>
        <v>652.43154738058138</v>
      </c>
      <c r="O103" s="3"/>
      <c r="P103" s="3" t="e">
        <f ca="1">[4]!FormDisp(J103)</f>
        <v>#NAME?</v>
      </c>
      <c r="Q103" s="3"/>
      <c r="R103" s="3"/>
      <c r="S103" s="3"/>
      <c r="T103" s="3"/>
      <c r="U103" s="3"/>
      <c r="V103" s="3"/>
    </row>
    <row r="104" spans="1:22" ht="15">
      <c r="A104" s="1">
        <f t="shared" si="14"/>
        <v>104</v>
      </c>
      <c r="B104" s="6" t="s">
        <v>48</v>
      </c>
      <c r="C104" s="4"/>
      <c r="D104" s="7">
        <f t="shared" ref="D104:I104" si="35">C97</f>
        <v>0</v>
      </c>
      <c r="E104" s="7">
        <f t="shared" si="35"/>
        <v>0</v>
      </c>
      <c r="F104" s="7">
        <f t="shared" si="35"/>
        <v>22.886841600000004</v>
      </c>
      <c r="G104" s="7">
        <f t="shared" si="35"/>
        <v>24.606509442246143</v>
      </c>
      <c r="H104" s="7">
        <f t="shared" si="35"/>
        <v>17.776798040333684</v>
      </c>
      <c r="I104" s="7">
        <f t="shared" si="35"/>
        <v>33.552697467841035</v>
      </c>
      <c r="J104" s="7">
        <f>I97</f>
        <v>15.465117369524673</v>
      </c>
      <c r="K104" s="7">
        <f>J97</f>
        <v>28.593709843834436</v>
      </c>
      <c r="L104" s="7">
        <f>K97</f>
        <v>30.353775164091449</v>
      </c>
      <c r="M104" s="7">
        <f>L97</f>
        <v>32.06651733841381</v>
      </c>
      <c r="N104" s="7">
        <f>M97</f>
        <v>33.875902705875866</v>
      </c>
      <c r="O104" s="3"/>
      <c r="P104" s="3" t="str">
        <f>[4]!FormDisp(J104)</f>
        <v>=I97</v>
      </c>
      <c r="Q104" s="3"/>
      <c r="R104" s="3"/>
      <c r="S104" s="3"/>
      <c r="T104" s="3"/>
      <c r="U104" s="3"/>
      <c r="V104" s="3"/>
    </row>
    <row r="105" spans="1:22" ht="15">
      <c r="A105" s="1">
        <f t="shared" si="14"/>
        <v>105</v>
      </c>
      <c r="B105" s="6" t="s">
        <v>49</v>
      </c>
      <c r="C105" s="4"/>
      <c r="D105" s="7">
        <f t="shared" ref="D105:I105" si="36">+D104+D103</f>
        <v>0</v>
      </c>
      <c r="E105" s="7">
        <f t="shared" si="36"/>
        <v>358.56051840000003</v>
      </c>
      <c r="F105" s="7">
        <f t="shared" si="36"/>
        <v>408.38882286185623</v>
      </c>
      <c r="G105" s="7">
        <f t="shared" si="36"/>
        <v>451.24966241025453</v>
      </c>
      <c r="H105" s="7">
        <f t="shared" si="36"/>
        <v>463.54835011307875</v>
      </c>
      <c r="I105" s="7">
        <f t="shared" si="36"/>
        <v>533.59149241580553</v>
      </c>
      <c r="J105" s="7">
        <f>+J104+J103</f>
        <v>536.75044298404475</v>
      </c>
      <c r="K105" s="7">
        <f>+K104+K103</f>
        <v>581.96638014303994</v>
      </c>
      <c r="L105" s="7">
        <f>+L104+L103</f>
        <v>614.95105279517384</v>
      </c>
      <c r="M105" s="7">
        <f>+M104+M103</f>
        <v>649.65028205322767</v>
      </c>
      <c r="N105" s="7">
        <f>+N104+N103</f>
        <v>686.30745008645727</v>
      </c>
      <c r="O105" s="3"/>
      <c r="P105" s="3" t="e">
        <f ca="1">[4]!FormDisp(J105)</f>
        <v>#NAME?</v>
      </c>
      <c r="Q105" s="3"/>
      <c r="R105" s="3"/>
      <c r="S105" s="3"/>
      <c r="T105" s="3"/>
      <c r="U105" s="3"/>
      <c r="V105" s="3"/>
    </row>
    <row r="106" spans="1:22" ht="15">
      <c r="A106" s="1">
        <f t="shared" si="14"/>
        <v>106</v>
      </c>
      <c r="B106" s="6" t="s">
        <v>50</v>
      </c>
      <c r="C106" s="4"/>
      <c r="D106" s="7">
        <f t="shared" ref="D106:I106" si="37">+D99</f>
        <v>20</v>
      </c>
      <c r="E106" s="7">
        <f t="shared" si="37"/>
        <v>245.68481249999999</v>
      </c>
      <c r="F106" s="7">
        <f t="shared" si="37"/>
        <v>257.95925679967343</v>
      </c>
      <c r="G106" s="7">
        <f t="shared" si="37"/>
        <v>279.45034228867934</v>
      </c>
      <c r="H106" s="7">
        <f t="shared" si="37"/>
        <v>311.62589833665339</v>
      </c>
      <c r="I106" s="7">
        <f t="shared" si="37"/>
        <v>331.69260851200295</v>
      </c>
      <c r="J106" s="7">
        <f>+J99</f>
        <v>338.13531895451871</v>
      </c>
      <c r="K106" s="7">
        <f>+K99</f>
        <v>366.05312081695337</v>
      </c>
      <c r="L106" s="7">
        <f>+L99</f>
        <v>384.88980855279613</v>
      </c>
      <c r="M106" s="7">
        <f>+M99</f>
        <v>404.69581135434782</v>
      </c>
      <c r="N106" s="7">
        <f>+N99</f>
        <v>425.52100910016173</v>
      </c>
      <c r="O106" s="3"/>
      <c r="P106" s="3" t="e">
        <f ca="1">[4]!FormDisp(J106)</f>
        <v>#NAME?</v>
      </c>
      <c r="Q106" s="3"/>
      <c r="R106" s="3"/>
      <c r="S106" s="3"/>
      <c r="T106" s="3"/>
      <c r="U106" s="3"/>
      <c r="V106" s="3"/>
    </row>
    <row r="107" spans="1:22" ht="15">
      <c r="A107" s="1">
        <f t="shared" si="14"/>
        <v>107</v>
      </c>
      <c r="B107" s="6" t="s">
        <v>51</v>
      </c>
      <c r="C107" s="4"/>
      <c r="D107" s="7">
        <f t="shared" ref="D107:I107" si="38">C100</f>
        <v>0</v>
      </c>
      <c r="E107" s="7">
        <f t="shared" si="38"/>
        <v>0</v>
      </c>
      <c r="F107" s="7">
        <f t="shared" si="38"/>
        <v>27.29831249999998</v>
      </c>
      <c r="G107" s="7">
        <f t="shared" si="38"/>
        <v>31.882604772993318</v>
      </c>
      <c r="H107" s="7">
        <f t="shared" si="38"/>
        <v>38.10686485754718</v>
      </c>
      <c r="I107" s="7">
        <f t="shared" si="38"/>
        <v>23.455712778027703</v>
      </c>
      <c r="J107" s="7">
        <f>I100</f>
        <v>28.842835522782821</v>
      </c>
      <c r="K107" s="7">
        <f>J100</f>
        <v>35.494867735557193</v>
      </c>
      <c r="L107" s="7">
        <f>K100</f>
        <v>38.425465721116666</v>
      </c>
      <c r="M107" s="7">
        <f>L100</f>
        <v>40.402797582890173</v>
      </c>
      <c r="N107" s="7">
        <f>M100</f>
        <v>42.481880749903894</v>
      </c>
      <c r="O107" s="3"/>
      <c r="P107" s="3" t="str">
        <f>[4]!FormDisp(J107)</f>
        <v>=I100</v>
      </c>
      <c r="Q107" s="3"/>
      <c r="R107" s="3"/>
      <c r="S107" s="3"/>
      <c r="T107" s="3"/>
      <c r="U107" s="3"/>
      <c r="V107" s="3"/>
    </row>
    <row r="108" spans="1:22" ht="15">
      <c r="A108" s="1">
        <f t="shared" si="14"/>
        <v>108</v>
      </c>
      <c r="B108" s="33" t="s">
        <v>52</v>
      </c>
      <c r="C108" s="4"/>
      <c r="D108" s="7">
        <f t="shared" ref="D108:I108" si="39">+D107+D106</f>
        <v>20</v>
      </c>
      <c r="E108" s="7">
        <f t="shared" si="39"/>
        <v>245.68481249999999</v>
      </c>
      <c r="F108" s="7">
        <f t="shared" si="39"/>
        <v>285.25756929967338</v>
      </c>
      <c r="G108" s="7">
        <f t="shared" si="39"/>
        <v>311.33294706167266</v>
      </c>
      <c r="H108" s="7">
        <f t="shared" si="39"/>
        <v>349.73276319420057</v>
      </c>
      <c r="I108" s="7">
        <f t="shared" si="39"/>
        <v>355.14832129003065</v>
      </c>
      <c r="J108" s="7">
        <f>+J107+J106</f>
        <v>366.97815447730153</v>
      </c>
      <c r="K108" s="7">
        <f>+K107+K106</f>
        <v>401.54798855251056</v>
      </c>
      <c r="L108" s="7">
        <f>+L107+L106</f>
        <v>423.31527427391279</v>
      </c>
      <c r="M108" s="7">
        <f>+M107+M106</f>
        <v>445.098608937238</v>
      </c>
      <c r="N108" s="7">
        <f>+N107+N106</f>
        <v>468.00288985006563</v>
      </c>
      <c r="O108" s="3"/>
      <c r="P108" s="3" t="e">
        <f ca="1">[4]!FormDisp(J108)</f>
        <v>#NAME?</v>
      </c>
      <c r="Q108" s="3"/>
      <c r="R108" s="3"/>
      <c r="S108" s="3"/>
      <c r="T108" s="3"/>
      <c r="U108" s="3"/>
      <c r="V108" s="3"/>
    </row>
    <row r="109" spans="1:22" ht="12.75">
      <c r="A109" s="1">
        <f t="shared" si="14"/>
        <v>109</v>
      </c>
      <c r="P109" s="3" t="str">
        <f>[4]!FormDisp(J109)</f>
        <v/>
      </c>
    </row>
    <row r="110" spans="1:22" ht="15.75" thickBot="1">
      <c r="A110" s="1">
        <f t="shared" si="14"/>
        <v>110</v>
      </c>
      <c r="B110" s="108" t="s">
        <v>222</v>
      </c>
      <c r="J110" s="25"/>
      <c r="K110" s="25"/>
      <c r="L110" s="1"/>
      <c r="M110" s="3"/>
      <c r="N110" s="3"/>
      <c r="O110" s="3"/>
      <c r="P110" s="3" t="str">
        <f>[4]!FormDisp(J110)</f>
        <v/>
      </c>
      <c r="Q110" s="53"/>
      <c r="R110" s="53"/>
      <c r="S110" s="53"/>
      <c r="T110" s="53"/>
      <c r="U110" s="3"/>
      <c r="V110" s="3"/>
    </row>
    <row r="111" spans="1:22" ht="26.25" thickBot="1">
      <c r="A111" s="1">
        <f t="shared" si="14"/>
        <v>111</v>
      </c>
      <c r="B111" s="110" t="s">
        <v>223</v>
      </c>
      <c r="C111" s="69" t="s">
        <v>70</v>
      </c>
      <c r="D111" s="69">
        <v>0</v>
      </c>
      <c r="E111" s="69">
        <v>1</v>
      </c>
      <c r="F111" s="69">
        <v>2</v>
      </c>
      <c r="G111" s="69">
        <v>3</v>
      </c>
      <c r="H111" s="69">
        <v>4</v>
      </c>
      <c r="I111" s="69">
        <v>5</v>
      </c>
      <c r="J111" s="75"/>
      <c r="K111" s="75"/>
      <c r="L111" s="1"/>
      <c r="M111" s="3"/>
      <c r="N111" s="3"/>
      <c r="O111" s="3"/>
      <c r="P111" s="3" t="str">
        <f>[4]!FormDisp(J111)</f>
        <v/>
      </c>
      <c r="Q111" s="3"/>
      <c r="R111" s="3"/>
      <c r="S111" s="3"/>
      <c r="T111" s="3"/>
      <c r="U111" s="3"/>
      <c r="V111" s="3"/>
    </row>
    <row r="112" spans="1:22" ht="15">
      <c r="A112" s="1">
        <f t="shared" si="14"/>
        <v>112</v>
      </c>
      <c r="B112" s="50" t="s">
        <v>224</v>
      </c>
      <c r="C112" s="4"/>
      <c r="D112" s="7"/>
      <c r="E112" s="42"/>
      <c r="F112" s="42"/>
      <c r="G112" s="42"/>
      <c r="H112" s="42"/>
      <c r="I112" s="42"/>
      <c r="J112" s="25"/>
      <c r="K112" s="25"/>
      <c r="L112" s="1"/>
      <c r="M112" s="3"/>
      <c r="N112" s="3"/>
      <c r="O112" s="3"/>
      <c r="P112" s="3" t="str">
        <f>[4]!FormDisp(J112)</f>
        <v/>
      </c>
      <c r="Q112" s="9"/>
      <c r="R112" s="9"/>
      <c r="S112" s="9"/>
      <c r="T112" s="9"/>
      <c r="U112" s="3"/>
      <c r="V112" s="3"/>
    </row>
    <row r="113" spans="1:22" ht="30">
      <c r="A113" s="1">
        <f t="shared" si="14"/>
        <v>113</v>
      </c>
      <c r="B113" s="50" t="s">
        <v>225</v>
      </c>
      <c r="C113" s="4"/>
      <c r="D113" s="1"/>
      <c r="E113" s="7">
        <f t="shared" ref="E113:N113" si="40">+E105</f>
        <v>358.56051840000003</v>
      </c>
      <c r="F113" s="7">
        <f t="shared" si="40"/>
        <v>408.38882286185623</v>
      </c>
      <c r="G113" s="7">
        <f t="shared" si="40"/>
        <v>451.24966241025453</v>
      </c>
      <c r="H113" s="7">
        <f t="shared" si="40"/>
        <v>463.54835011307875</v>
      </c>
      <c r="I113" s="7">
        <f t="shared" si="40"/>
        <v>533.59149241580553</v>
      </c>
      <c r="J113" s="7">
        <f t="shared" si="40"/>
        <v>536.75044298404475</v>
      </c>
      <c r="K113" s="7">
        <f t="shared" si="40"/>
        <v>581.96638014303994</v>
      </c>
      <c r="L113" s="7">
        <f t="shared" si="40"/>
        <v>614.95105279517384</v>
      </c>
      <c r="M113" s="7">
        <f t="shared" si="40"/>
        <v>649.65028205322767</v>
      </c>
      <c r="N113" s="7">
        <f t="shared" si="40"/>
        <v>686.30745008645727</v>
      </c>
      <c r="O113" s="3"/>
      <c r="P113" s="3" t="e">
        <f ca="1">[4]!FormDisp(J113)</f>
        <v>#NAME?</v>
      </c>
      <c r="Q113" s="9"/>
      <c r="R113" s="9"/>
      <c r="S113" s="9"/>
      <c r="T113" s="9"/>
      <c r="U113" s="3"/>
      <c r="V113" s="3"/>
    </row>
    <row r="114" spans="1:22" ht="15">
      <c r="A114" s="1">
        <f t="shared" si="14"/>
        <v>114</v>
      </c>
      <c r="B114" s="50" t="s">
        <v>226</v>
      </c>
      <c r="C114" s="4"/>
      <c r="D114" s="7">
        <f>SUM(D112:D113)</f>
        <v>0</v>
      </c>
      <c r="E114" s="7">
        <f t="shared" ref="E114:N114" si="41">E113</f>
        <v>358.56051840000003</v>
      </c>
      <c r="F114" s="7">
        <f t="shared" si="41"/>
        <v>408.38882286185623</v>
      </c>
      <c r="G114" s="7">
        <f t="shared" si="41"/>
        <v>451.24966241025453</v>
      </c>
      <c r="H114" s="7">
        <f t="shared" si="41"/>
        <v>463.54835011307875</v>
      </c>
      <c r="I114" s="7">
        <f t="shared" si="41"/>
        <v>533.59149241580553</v>
      </c>
      <c r="J114" s="7">
        <f t="shared" si="41"/>
        <v>536.75044298404475</v>
      </c>
      <c r="K114" s="7">
        <f t="shared" si="41"/>
        <v>581.96638014303994</v>
      </c>
      <c r="L114" s="7">
        <f t="shared" si="41"/>
        <v>614.95105279517384</v>
      </c>
      <c r="M114" s="7">
        <f t="shared" si="41"/>
        <v>649.65028205322767</v>
      </c>
      <c r="N114" s="7">
        <f t="shared" si="41"/>
        <v>686.30745008645727</v>
      </c>
      <c r="O114" s="3"/>
      <c r="P114" s="3" t="e">
        <f ca="1">[4]!FormDisp(J114)</f>
        <v>#NAME?</v>
      </c>
      <c r="Q114" s="53"/>
      <c r="R114" s="53"/>
      <c r="S114" s="53"/>
      <c r="T114" s="53"/>
      <c r="U114" s="3"/>
      <c r="V114" s="3"/>
    </row>
    <row r="115" spans="1:22" ht="15">
      <c r="A115" s="1">
        <f t="shared" si="14"/>
        <v>115</v>
      </c>
      <c r="B115" s="50" t="s">
        <v>227</v>
      </c>
      <c r="C115" s="4"/>
      <c r="D115" s="1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3"/>
      <c r="P115" s="3" t="str">
        <f>[4]!FormDisp(J115)</f>
        <v/>
      </c>
      <c r="Q115" s="9"/>
      <c r="R115" s="3"/>
      <c r="S115" s="3"/>
      <c r="T115" s="3"/>
      <c r="U115" s="3"/>
      <c r="V115" s="3"/>
    </row>
    <row r="116" spans="1:22" ht="30">
      <c r="A116" s="1">
        <f t="shared" si="14"/>
        <v>116</v>
      </c>
      <c r="B116" s="50" t="s">
        <v>228</v>
      </c>
      <c r="C116" s="4"/>
      <c r="D116" s="7">
        <f>+D83</f>
        <v>20</v>
      </c>
      <c r="E116" s="7">
        <f t="shared" ref="E116:N116" si="42">+E108</f>
        <v>245.68481249999999</v>
      </c>
      <c r="F116" s="7">
        <f t="shared" si="42"/>
        <v>285.25756929967338</v>
      </c>
      <c r="G116" s="7">
        <f t="shared" si="42"/>
        <v>311.33294706167266</v>
      </c>
      <c r="H116" s="7">
        <f t="shared" si="42"/>
        <v>349.73276319420057</v>
      </c>
      <c r="I116" s="7">
        <f t="shared" si="42"/>
        <v>355.14832129003065</v>
      </c>
      <c r="J116" s="7">
        <f t="shared" si="42"/>
        <v>366.97815447730153</v>
      </c>
      <c r="K116" s="7">
        <f t="shared" si="42"/>
        <v>401.54798855251056</v>
      </c>
      <c r="L116" s="7">
        <f t="shared" si="42"/>
        <v>423.31527427391279</v>
      </c>
      <c r="M116" s="7">
        <f t="shared" si="42"/>
        <v>445.098608937238</v>
      </c>
      <c r="N116" s="7">
        <f t="shared" si="42"/>
        <v>468.00288985006563</v>
      </c>
      <c r="O116" s="3"/>
      <c r="P116" s="3" t="e">
        <f ca="1">[4]!FormDisp(J116)</f>
        <v>#NAME?</v>
      </c>
      <c r="Q116" s="9"/>
      <c r="R116" s="9"/>
      <c r="S116" s="9"/>
      <c r="T116" s="9"/>
      <c r="U116" s="3"/>
      <c r="V116" s="3"/>
    </row>
    <row r="117" spans="1:22" ht="30">
      <c r="A117" s="1">
        <f t="shared" si="14"/>
        <v>117</v>
      </c>
      <c r="B117" s="50" t="s">
        <v>315</v>
      </c>
      <c r="C117" s="4"/>
      <c r="D117" s="1"/>
      <c r="E117" s="7">
        <f t="shared" ref="E117:N117" si="43">+E92+E86</f>
        <v>75.959515199999998</v>
      </c>
      <c r="F117" s="7">
        <f t="shared" si="43"/>
        <v>81.467087239287167</v>
      </c>
      <c r="G117" s="7">
        <f t="shared" si="43"/>
        <v>87.169195957930555</v>
      </c>
      <c r="H117" s="7">
        <f t="shared" si="43"/>
        <v>92.979654455793195</v>
      </c>
      <c r="I117" s="7">
        <f t="shared" si="43"/>
        <v>98.800278834684946</v>
      </c>
      <c r="J117" s="7">
        <f t="shared" si="43"/>
        <v>104.38992357513291</v>
      </c>
      <c r="K117" s="7">
        <f t="shared" si="43"/>
        <v>109.76805262688512</v>
      </c>
      <c r="L117" s="7">
        <f t="shared" si="43"/>
        <v>114.86828366830346</v>
      </c>
      <c r="M117" s="7">
        <f t="shared" si="43"/>
        <v>120.20822362752824</v>
      </c>
      <c r="N117" s="7">
        <f t="shared" si="43"/>
        <v>125.79925202394713</v>
      </c>
      <c r="O117" s="3"/>
      <c r="P117" s="3" t="str">
        <f>[4]!FormDisp(J117)</f>
        <v>=+J92+J86</v>
      </c>
      <c r="Q117" s="9"/>
      <c r="R117" s="9"/>
      <c r="S117" s="9"/>
      <c r="T117" s="9"/>
      <c r="U117" s="3"/>
      <c r="V117" s="3"/>
    </row>
    <row r="118" spans="1:22" ht="15">
      <c r="A118" s="1">
        <f t="shared" si="14"/>
        <v>118</v>
      </c>
      <c r="B118" s="50" t="s">
        <v>217</v>
      </c>
      <c r="C118" s="4"/>
      <c r="D118" s="1"/>
      <c r="E118" s="7">
        <f t="shared" ref="E118:N118" si="44">+E190</f>
        <v>5.4693606800000323</v>
      </c>
      <c r="F118" s="7">
        <f t="shared" si="44"/>
        <v>8.1058451310627895</v>
      </c>
      <c r="G118" s="7">
        <f t="shared" si="44"/>
        <v>10.68220365048324</v>
      </c>
      <c r="H118" s="7">
        <f t="shared" si="44"/>
        <v>13.993631146870305</v>
      </c>
      <c r="I118" s="7">
        <f t="shared" si="44"/>
        <v>13.085454087391218</v>
      </c>
      <c r="J118" s="7">
        <f t="shared" si="44"/>
        <v>16.476923433892502</v>
      </c>
      <c r="K118" s="7">
        <f t="shared" si="44"/>
        <v>19.378488889718795</v>
      </c>
      <c r="L118" s="7">
        <f t="shared" si="44"/>
        <v>22.331899377448565</v>
      </c>
      <c r="M118" s="7">
        <f t="shared" si="44"/>
        <v>7.7967776979463341</v>
      </c>
      <c r="N118" s="7">
        <f t="shared" si="44"/>
        <v>11.501143412805234</v>
      </c>
      <c r="O118" s="3"/>
      <c r="P118" s="3" t="e">
        <f ca="1">[4]!FormDisp(J118)</f>
        <v>#NAME?</v>
      </c>
      <c r="Q118" s="9"/>
      <c r="R118" s="9"/>
      <c r="S118" s="9"/>
      <c r="T118" s="9"/>
      <c r="U118" s="3"/>
      <c r="V118" s="3"/>
    </row>
    <row r="119" spans="1:22" ht="15">
      <c r="A119" s="1">
        <f t="shared" si="14"/>
        <v>119</v>
      </c>
      <c r="B119" s="50" t="s">
        <v>230</v>
      </c>
      <c r="C119" s="4"/>
      <c r="D119" s="7">
        <f>SUM(D115:D118)</f>
        <v>20</v>
      </c>
      <c r="E119" s="7">
        <f t="shared" ref="E119:N119" si="45">SUM(E116:E118)</f>
        <v>327.11368837999999</v>
      </c>
      <c r="F119" s="7">
        <f t="shared" si="45"/>
        <v>374.8305016700233</v>
      </c>
      <c r="G119" s="7">
        <f t="shared" si="45"/>
        <v>409.18434667008643</v>
      </c>
      <c r="H119" s="7">
        <f t="shared" si="45"/>
        <v>456.70604879686408</v>
      </c>
      <c r="I119" s="7">
        <f t="shared" si="45"/>
        <v>467.03405421210681</v>
      </c>
      <c r="J119" s="7">
        <f t="shared" si="45"/>
        <v>487.84500148632696</v>
      </c>
      <c r="K119" s="7">
        <f t="shared" si="45"/>
        <v>530.69453006911453</v>
      </c>
      <c r="L119" s="7">
        <f t="shared" si="45"/>
        <v>560.51545731966485</v>
      </c>
      <c r="M119" s="7">
        <f t="shared" si="45"/>
        <v>573.10361026271255</v>
      </c>
      <c r="N119" s="7">
        <f t="shared" si="45"/>
        <v>605.30328528681798</v>
      </c>
      <c r="O119" s="3"/>
      <c r="P119" s="3" t="e">
        <f ca="1">[4]!FormDisp(J119)</f>
        <v>#NAME?</v>
      </c>
      <c r="Q119" s="3"/>
      <c r="R119" s="3"/>
      <c r="S119" s="31"/>
      <c r="T119" s="31"/>
      <c r="U119" s="3"/>
      <c r="V119" s="3"/>
    </row>
    <row r="120" spans="1:22" ht="43.5" thickBot="1">
      <c r="A120" s="1">
        <f t="shared" si="14"/>
        <v>120</v>
      </c>
      <c r="B120" s="64" t="s">
        <v>231</v>
      </c>
      <c r="C120" s="4"/>
      <c r="D120" s="7">
        <f t="shared" ref="D120:I120" si="46">D114-D119</f>
        <v>-20</v>
      </c>
      <c r="E120" s="7">
        <f t="shared" si="46"/>
        <v>31.44683002000005</v>
      </c>
      <c r="F120" s="7">
        <f t="shared" si="46"/>
        <v>33.558321191832931</v>
      </c>
      <c r="G120" s="7">
        <f t="shared" si="46"/>
        <v>42.065315740168103</v>
      </c>
      <c r="H120" s="7">
        <f t="shared" si="46"/>
        <v>6.8423013162146731</v>
      </c>
      <c r="I120" s="7">
        <f t="shared" si="46"/>
        <v>66.557438203698723</v>
      </c>
      <c r="J120" s="7">
        <f>J114-J119</f>
        <v>48.905441497717788</v>
      </c>
      <c r="K120" s="7">
        <f>K114-K119</f>
        <v>51.271850073925407</v>
      </c>
      <c r="L120" s="7">
        <f>L114-L119</f>
        <v>54.43559547550899</v>
      </c>
      <c r="M120" s="7">
        <f>M114-M119</f>
        <v>76.54667179051512</v>
      </c>
      <c r="N120" s="7">
        <f>N114-N119</f>
        <v>81.004164799639284</v>
      </c>
      <c r="O120" s="1"/>
      <c r="P120" s="3" t="e">
        <f ca="1">[4]!FormDisp(J120)</f>
        <v>#NAME?</v>
      </c>
      <c r="Q120" s="1"/>
      <c r="R120" s="1"/>
      <c r="S120" s="53"/>
      <c r="T120" s="53"/>
      <c r="U120" s="3"/>
      <c r="V120" s="3"/>
    </row>
    <row r="121" spans="1:22" ht="26.25" thickBot="1">
      <c r="A121" s="1">
        <f t="shared" si="14"/>
        <v>121</v>
      </c>
      <c r="B121" s="110" t="s">
        <v>234</v>
      </c>
      <c r="C121" s="4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1"/>
      <c r="P121" s="3" t="str">
        <f>[4]!FormDisp(J121)</f>
        <v/>
      </c>
      <c r="Q121" s="1"/>
      <c r="R121" s="1"/>
      <c r="S121" s="53"/>
      <c r="T121" s="53"/>
      <c r="U121" s="3"/>
      <c r="V121" s="3"/>
    </row>
    <row r="122" spans="1:22" ht="30">
      <c r="A122" s="1">
        <f t="shared" si="14"/>
        <v>122</v>
      </c>
      <c r="B122" s="50" t="s">
        <v>232</v>
      </c>
      <c r="C122" s="4"/>
      <c r="D122" s="7">
        <f>+activo_fijo</f>
        <v>45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30"/>
      <c r="P122" s="3" t="str">
        <f>[4]!FormDisp(J122)</f>
        <v/>
      </c>
      <c r="Q122" s="30"/>
      <c r="R122" s="3"/>
      <c r="S122" s="53"/>
      <c r="T122" s="53"/>
      <c r="U122" s="3"/>
      <c r="V122" s="3"/>
    </row>
    <row r="123" spans="1:22" ht="30">
      <c r="A123" s="1">
        <f t="shared" si="14"/>
        <v>123</v>
      </c>
      <c r="B123" s="50" t="s">
        <v>233</v>
      </c>
      <c r="C123" s="4"/>
      <c r="D123" s="7"/>
      <c r="E123" s="7">
        <f t="shared" ref="E123:N123" si="47">+E57</f>
        <v>0</v>
      </c>
      <c r="F123" s="7">
        <f t="shared" si="47"/>
        <v>0</v>
      </c>
      <c r="G123" s="7">
        <f t="shared" si="47"/>
        <v>0</v>
      </c>
      <c r="H123" s="7">
        <f t="shared" si="47"/>
        <v>56.305269589880119</v>
      </c>
      <c r="I123" s="7">
        <f t="shared" si="47"/>
        <v>0</v>
      </c>
      <c r="J123" s="7">
        <f t="shared" si="47"/>
        <v>0</v>
      </c>
      <c r="K123" s="7">
        <f t="shared" si="47"/>
        <v>0</v>
      </c>
      <c r="L123" s="7">
        <v>200</v>
      </c>
      <c r="M123" s="7">
        <f t="shared" si="47"/>
        <v>0</v>
      </c>
      <c r="N123" s="7">
        <f t="shared" si="47"/>
        <v>0</v>
      </c>
      <c r="O123" s="3"/>
      <c r="P123" s="3" t="str">
        <f>[4]!FormDisp(J123)</f>
        <v>=+J57</v>
      </c>
      <c r="Q123">
        <f>+H123/D122-1</f>
        <v>0.25122821310844712</v>
      </c>
      <c r="R123" s="3">
        <f>+L123/H123-1</f>
        <v>2.552065400925573</v>
      </c>
      <c r="S123" s="3"/>
      <c r="T123" s="3"/>
      <c r="U123" s="3"/>
      <c r="V123" s="3"/>
    </row>
    <row r="124" spans="1:22" ht="28.5">
      <c r="A124" s="1">
        <f t="shared" si="14"/>
        <v>124</v>
      </c>
      <c r="B124" s="64" t="s">
        <v>248</v>
      </c>
      <c r="C124" s="4"/>
      <c r="D124" s="7">
        <f>-D122-D123</f>
        <v>-45</v>
      </c>
      <c r="E124" s="7">
        <f t="shared" ref="E124:N124" si="48">-E123-E122</f>
        <v>0</v>
      </c>
      <c r="F124" s="7">
        <f t="shared" si="48"/>
        <v>0</v>
      </c>
      <c r="G124" s="7">
        <f t="shared" si="48"/>
        <v>0</v>
      </c>
      <c r="H124" s="7">
        <f t="shared" si="48"/>
        <v>-56.305269589880119</v>
      </c>
      <c r="I124" s="7">
        <f t="shared" si="48"/>
        <v>0</v>
      </c>
      <c r="J124" s="7">
        <f t="shared" si="48"/>
        <v>0</v>
      </c>
      <c r="K124" s="7">
        <f t="shared" si="48"/>
        <v>0</v>
      </c>
      <c r="L124" s="7">
        <f t="shared" si="48"/>
        <v>-200</v>
      </c>
      <c r="M124" s="7">
        <f t="shared" si="48"/>
        <v>0</v>
      </c>
      <c r="N124" s="7">
        <f t="shared" si="48"/>
        <v>0</v>
      </c>
      <c r="O124" s="1"/>
      <c r="P124" s="3" t="str">
        <f>[4]!FormDisp(J124)</f>
        <v>=-J123-J122</v>
      </c>
      <c r="Q124" s="53"/>
      <c r="R124" s="53"/>
      <c r="S124" s="53"/>
      <c r="T124" s="53"/>
      <c r="U124" s="3"/>
      <c r="V124" s="3"/>
    </row>
    <row r="125" spans="1:22" ht="43.5" thickBot="1">
      <c r="A125" s="1">
        <f t="shared" si="14"/>
        <v>125</v>
      </c>
      <c r="B125" s="64" t="s">
        <v>247</v>
      </c>
      <c r="C125" s="4"/>
      <c r="D125" s="7">
        <f>+D124+D120</f>
        <v>-65</v>
      </c>
      <c r="E125" s="7">
        <f t="shared" ref="E125:N125" si="49">+E120+E124</f>
        <v>31.44683002000005</v>
      </c>
      <c r="F125" s="7">
        <f t="shared" si="49"/>
        <v>33.558321191832931</v>
      </c>
      <c r="G125" s="7">
        <f t="shared" si="49"/>
        <v>42.065315740168103</v>
      </c>
      <c r="H125" s="7">
        <f t="shared" si="49"/>
        <v>-49.462968273665446</v>
      </c>
      <c r="I125" s="7">
        <f t="shared" si="49"/>
        <v>66.557438203698723</v>
      </c>
      <c r="J125" s="7">
        <f t="shared" si="49"/>
        <v>48.905441497717788</v>
      </c>
      <c r="K125" s="7">
        <f t="shared" si="49"/>
        <v>51.271850073925407</v>
      </c>
      <c r="L125" s="7">
        <f t="shared" si="49"/>
        <v>-145.56440452449101</v>
      </c>
      <c r="M125" s="7">
        <f t="shared" si="49"/>
        <v>76.54667179051512</v>
      </c>
      <c r="N125" s="7">
        <f t="shared" si="49"/>
        <v>81.004164799639284</v>
      </c>
      <c r="O125" s="1"/>
      <c r="P125" s="3" t="e">
        <f ca="1">[4]!FormDisp(J125)</f>
        <v>#NAME?</v>
      </c>
      <c r="Q125" s="53"/>
      <c r="R125" s="53"/>
      <c r="S125" s="53"/>
      <c r="T125" s="53"/>
      <c r="U125" s="3"/>
      <c r="V125" s="3"/>
    </row>
    <row r="126" spans="1:22" ht="26.25" thickBot="1">
      <c r="A126" s="1">
        <f t="shared" si="14"/>
        <v>126</v>
      </c>
      <c r="B126" s="110" t="s">
        <v>235</v>
      </c>
      <c r="C126" s="4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3"/>
      <c r="P126" s="3" t="str">
        <f>[4]!FormDisp(J126)</f>
        <v/>
      </c>
      <c r="Q126" s="53"/>
      <c r="R126" s="53"/>
      <c r="S126" s="53"/>
      <c r="T126" s="53"/>
      <c r="U126" s="3"/>
      <c r="V126" s="3"/>
    </row>
    <row r="127" spans="1:22" ht="12.75">
      <c r="A127" s="1">
        <f t="shared" si="14"/>
        <v>127</v>
      </c>
      <c r="B127" s="105" t="s">
        <v>236</v>
      </c>
      <c r="C127" s="4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3"/>
      <c r="P127" s="3" t="str">
        <f>[4]!FormDisp(J127)</f>
        <v/>
      </c>
      <c r="Q127" s="53"/>
      <c r="R127" s="53"/>
      <c r="S127" s="53"/>
      <c r="T127" s="53"/>
      <c r="U127" s="3"/>
      <c r="V127" s="3"/>
    </row>
    <row r="128" spans="1:22" ht="28.5">
      <c r="A128" s="1">
        <f t="shared" si="14"/>
        <v>128</v>
      </c>
      <c r="B128" s="106" t="s">
        <v>237</v>
      </c>
      <c r="C128" s="45"/>
      <c r="D128" s="7">
        <f>IF((D124+D140)&gt;0,0,-(D124+D140))</f>
        <v>30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3"/>
      <c r="P128" s="3" t="str">
        <f>[4]!FormDisp(J128)</f>
        <v/>
      </c>
      <c r="Q128" s="53"/>
      <c r="R128" s="53"/>
      <c r="S128" s="53"/>
      <c r="T128" s="53"/>
      <c r="U128" s="3"/>
      <c r="V128" s="3"/>
    </row>
    <row r="129" spans="1:22" ht="14.25">
      <c r="A129" s="1">
        <f t="shared" si="14"/>
        <v>129</v>
      </c>
      <c r="B129" s="67" t="s">
        <v>238</v>
      </c>
      <c r="C129" s="52"/>
      <c r="D129" s="7">
        <f>IF(D120-D$34&gt;0,0,-(D120-D$34))</f>
        <v>33</v>
      </c>
      <c r="E129" s="17">
        <f t="shared" ref="E129:N129" si="50">IF((E120-E134-E135)&gt;0,0,-(E120-E134-E135))</f>
        <v>5.8827699799999547</v>
      </c>
      <c r="F129" s="7">
        <f t="shared" si="50"/>
        <v>0</v>
      </c>
      <c r="G129" s="7">
        <f t="shared" si="50"/>
        <v>0</v>
      </c>
      <c r="H129" s="7">
        <f t="shared" si="50"/>
        <v>0</v>
      </c>
      <c r="I129" s="7">
        <f t="shared" si="50"/>
        <v>0</v>
      </c>
      <c r="J129" s="7">
        <f t="shared" si="50"/>
        <v>0</v>
      </c>
      <c r="K129" s="7">
        <f t="shared" si="50"/>
        <v>0</v>
      </c>
      <c r="L129" s="7">
        <f t="shared" si="50"/>
        <v>0</v>
      </c>
      <c r="M129" s="7">
        <f t="shared" si="50"/>
        <v>0</v>
      </c>
      <c r="N129" s="7">
        <f t="shared" si="50"/>
        <v>0</v>
      </c>
      <c r="O129" s="3"/>
      <c r="P129" s="3" t="e">
        <f ca="1">[4]!FormDisp(J129)</f>
        <v>#NAME?</v>
      </c>
      <c r="Q129" s="3"/>
      <c r="R129" s="3"/>
      <c r="S129" s="3"/>
      <c r="T129" s="3"/>
      <c r="U129" s="3"/>
      <c r="V129" s="3"/>
    </row>
    <row r="130" spans="1:22" ht="28.5">
      <c r="A130" s="1">
        <f t="shared" si="14"/>
        <v>130</v>
      </c>
      <c r="B130" s="107" t="s">
        <v>239</v>
      </c>
      <c r="C130" s="4"/>
      <c r="D130" s="7"/>
      <c r="E130" s="17">
        <f>IF((D151+E125+E129-E132-E133-E134-E135-E136-E137+E143+E146+E147-E$33)&gt;0,0,-(D151+E125+E129-E132-E133-E134-E135-E136-E137+E143+E146+E147-E$33))</f>
        <v>6.9360000000000053</v>
      </c>
      <c r="F130" s="17">
        <f>IF((E151+F125+F129-F132-F133-F134-F135-F136-F137+F143+F146+F147-F$33)&gt;0,0,-(E151+F125+F129-F132-F133-F134-F135-F136-F137+F143+F146+F147-F$33))</f>
        <v>0</v>
      </c>
      <c r="G130" s="17">
        <f>IF((F151+G125+G129-G132-G133-G134-G135-G136-G137+G143+G146+G147-G$33)&gt;0,0,-(F151+G125+G129-G132-G133-G134-G135-G136-G137+G143+G146+G147-G$33))</f>
        <v>0</v>
      </c>
      <c r="H130" s="17">
        <f>IF((G151+H125+H129-H132-H133-H134-H135-H136-H137+H143+H146+H147-H$33)&gt;0,0,-(G151+H125+H129-H132-H133-H134-H135-H136-H137+H143+H146+H147-H$33))</f>
        <v>44.674334537414069</v>
      </c>
      <c r="I130" s="17">
        <f>IF((H151+I125+I129-I132-I133-I134-I135-I136-I137+I143+I146+I147-I$33)&gt;0,0,-(H151+I125+I129-I132-I133-I134-I135-I136-I137+I143+I146+I147-I$33))</f>
        <v>0</v>
      </c>
      <c r="J130" s="17">
        <f>IF((I151+J125+J129-J132-J133-J134-J135-J136-J137+J143+J146+J147-J$61)&gt;0,0,-(I151+J125+J129-J132-J133-J134-J135-J136-J137+J143+J146+J147-J$61))</f>
        <v>0</v>
      </c>
      <c r="K130" s="17">
        <f>IF((J151+K125+K129-K132-K133-K134-K135-K136-K137+K143+K146+K147-K$61)&gt;0,0,-(J151+K125+K129-K132-K133-K134-K135-K136-K137+K143+K146+K147-K$61))</f>
        <v>0</v>
      </c>
      <c r="L130" s="17">
        <f>IF((K151+L125+L129-L132-L133-L134-L135-L136-L137+L143+L146+L147-L$61)&gt;0,0,-(K151+L125+L129-L132-L133-L134-L135-L136-L137+L143+L146+L147-L$61))</f>
        <v>100.30884951435112</v>
      </c>
      <c r="M130" s="17">
        <f>IF((L151+M125+M129-M132-M133-M134-M135-M136-M137+M143+M146+M147-M$61)&gt;0,0,-(L151+M125+M129-M132-M133-M134-M135-M136-M137+M143+M146+M147-M$61))</f>
        <v>0</v>
      </c>
      <c r="N130" s="17">
        <f>IF((M151+N125+N129-N132-N133-N134-N135-N136-N137+N143+N146+N147-N$61)&gt;0,0,-(M151+N125+N129-N132-N133-N134-N135-N136-N137+N143+N146+N147-N$61))</f>
        <v>0</v>
      </c>
      <c r="O130" s="3"/>
      <c r="P130" s="3" t="e">
        <f ca="1">[4]!FormDisp(J130)</f>
        <v>#NAME?</v>
      </c>
      <c r="Q130" s="3"/>
      <c r="R130" s="3"/>
      <c r="S130" s="3"/>
      <c r="T130" s="3"/>
      <c r="U130" s="3"/>
      <c r="V130" s="3"/>
    </row>
    <row r="131" spans="1:22" ht="15">
      <c r="A131" s="1">
        <f t="shared" si="14"/>
        <v>131</v>
      </c>
      <c r="B131" s="50" t="s">
        <v>240</v>
      </c>
      <c r="C131" s="4"/>
      <c r="D131" s="1"/>
      <c r="E131" s="102"/>
      <c r="F131" s="7"/>
      <c r="G131" s="7"/>
      <c r="H131" s="7"/>
      <c r="I131" s="7"/>
      <c r="J131" s="7"/>
      <c r="K131" s="7"/>
      <c r="L131" s="7"/>
      <c r="M131" s="7"/>
      <c r="N131" s="7"/>
      <c r="O131" s="3"/>
      <c r="P131" s="3" t="str">
        <f>[4]!FormDisp(J131)</f>
        <v/>
      </c>
      <c r="Q131" s="30"/>
      <c r="R131" s="30"/>
      <c r="S131" s="30"/>
      <c r="T131" s="30"/>
      <c r="U131" s="3"/>
      <c r="V131" s="3"/>
    </row>
    <row r="132" spans="1:22" ht="28.5">
      <c r="A132" s="1">
        <f t="shared" ref="A132:A216" si="51">ROW(B132)</f>
        <v>132</v>
      </c>
      <c r="B132" s="106" t="s">
        <v>242</v>
      </c>
      <c r="C132" s="4"/>
      <c r="D132" s="1"/>
      <c r="E132" s="7">
        <f t="shared" ref="E132:N132" si="52">+E158</f>
        <v>6</v>
      </c>
      <c r="F132" s="7">
        <f t="shared" si="52"/>
        <v>6</v>
      </c>
      <c r="G132" s="7">
        <f t="shared" si="52"/>
        <v>6</v>
      </c>
      <c r="H132" s="7">
        <f t="shared" si="52"/>
        <v>6</v>
      </c>
      <c r="I132" s="7">
        <f t="shared" si="52"/>
        <v>6</v>
      </c>
      <c r="J132" s="7">
        <f t="shared" si="52"/>
        <v>0</v>
      </c>
      <c r="K132" s="7">
        <f t="shared" si="52"/>
        <v>0</v>
      </c>
      <c r="L132" s="7">
        <f t="shared" si="52"/>
        <v>0</v>
      </c>
      <c r="M132" s="7">
        <f t="shared" si="52"/>
        <v>0</v>
      </c>
      <c r="N132" s="7">
        <f t="shared" si="52"/>
        <v>0</v>
      </c>
      <c r="O132" s="3"/>
      <c r="P132" s="3" t="str">
        <f>[4]!FormDisp(J132)</f>
        <v>=+J158</v>
      </c>
      <c r="Q132" s="30"/>
      <c r="R132" s="30"/>
      <c r="S132" s="30"/>
      <c r="T132" s="30"/>
      <c r="U132" s="3"/>
      <c r="V132" s="3"/>
    </row>
    <row r="133" spans="1:22" ht="28.5">
      <c r="A133" s="1">
        <f t="shared" si="51"/>
        <v>133</v>
      </c>
      <c r="B133" s="106" t="s">
        <v>241</v>
      </c>
      <c r="C133" s="4"/>
      <c r="D133" s="1"/>
      <c r="E133" s="7">
        <f t="shared" ref="E133:N133" si="53">+E157</f>
        <v>3.9360000000000044</v>
      </c>
      <c r="F133" s="7">
        <f t="shared" si="53"/>
        <v>3.2603999999999971</v>
      </c>
      <c r="G133" s="7">
        <f t="shared" si="53"/>
        <v>2.7035999999999989</v>
      </c>
      <c r="H133" s="7">
        <f t="shared" si="53"/>
        <v>1.3499999999999999</v>
      </c>
      <c r="I133" s="7">
        <f t="shared" si="53"/>
        <v>0.68939999999999912</v>
      </c>
      <c r="J133" s="7">
        <f t="shared" si="53"/>
        <v>0</v>
      </c>
      <c r="K133" s="7">
        <f t="shared" si="53"/>
        <v>0</v>
      </c>
      <c r="L133" s="7">
        <f t="shared" si="53"/>
        <v>0</v>
      </c>
      <c r="M133" s="7">
        <f t="shared" si="53"/>
        <v>0</v>
      </c>
      <c r="N133" s="7">
        <f t="shared" si="53"/>
        <v>0</v>
      </c>
      <c r="O133" s="3"/>
      <c r="P133" s="3" t="str">
        <f>[4]!FormDisp(J133)</f>
        <v>=+J157</v>
      </c>
      <c r="Q133" s="30"/>
      <c r="R133" s="30"/>
      <c r="S133" s="30"/>
      <c r="T133" s="30"/>
      <c r="U133" s="3"/>
      <c r="V133" s="3"/>
    </row>
    <row r="134" spans="1:22" ht="14.25">
      <c r="A134" s="1">
        <f t="shared" si="51"/>
        <v>134</v>
      </c>
      <c r="B134" s="67" t="s">
        <v>243</v>
      </c>
      <c r="C134" s="4"/>
      <c r="D134" s="1"/>
      <c r="E134" s="7">
        <f t="shared" ref="E134:N134" si="54">+D129</f>
        <v>33</v>
      </c>
      <c r="F134" s="7">
        <f t="shared" si="54"/>
        <v>5.8827699799999547</v>
      </c>
      <c r="G134" s="7">
        <f t="shared" si="54"/>
        <v>0</v>
      </c>
      <c r="H134" s="7">
        <f t="shared" si="54"/>
        <v>0</v>
      </c>
      <c r="I134" s="7">
        <f t="shared" si="54"/>
        <v>0</v>
      </c>
      <c r="J134" s="7">
        <f>+I129</f>
        <v>0</v>
      </c>
      <c r="K134" s="7">
        <f t="shared" si="54"/>
        <v>0</v>
      </c>
      <c r="L134" s="7">
        <f t="shared" si="54"/>
        <v>0</v>
      </c>
      <c r="M134" s="7">
        <f t="shared" si="54"/>
        <v>0</v>
      </c>
      <c r="N134" s="7">
        <f t="shared" si="54"/>
        <v>0</v>
      </c>
      <c r="O134" s="3"/>
      <c r="P134" s="3" t="str">
        <f>[4]!FormDisp(J134)</f>
        <v>=+I129</v>
      </c>
      <c r="Q134" s="30"/>
      <c r="R134" s="30"/>
      <c r="S134" s="30"/>
      <c r="T134" s="30"/>
      <c r="U134" s="3"/>
      <c r="V134" s="3"/>
    </row>
    <row r="135" spans="1:22" ht="15">
      <c r="A135" s="1">
        <f t="shared" si="51"/>
        <v>135</v>
      </c>
      <c r="B135" s="65" t="s">
        <v>244</v>
      </c>
      <c r="C135" s="4"/>
      <c r="D135" s="1"/>
      <c r="E135" s="7">
        <f t="shared" ref="E135:N135" si="55">+E165</f>
        <v>4.3296000000000046</v>
      </c>
      <c r="F135" s="7">
        <f t="shared" si="55"/>
        <v>0.7991743017829932</v>
      </c>
      <c r="G135" s="7">
        <f t="shared" si="55"/>
        <v>0</v>
      </c>
      <c r="H135" s="7">
        <f t="shared" si="55"/>
        <v>0</v>
      </c>
      <c r="I135" s="7">
        <f t="shared" si="55"/>
        <v>0</v>
      </c>
      <c r="J135" s="7">
        <f t="shared" si="55"/>
        <v>0</v>
      </c>
      <c r="K135" s="7">
        <f t="shared" si="55"/>
        <v>0</v>
      </c>
      <c r="L135" s="7">
        <f t="shared" si="55"/>
        <v>0</v>
      </c>
      <c r="M135" s="7">
        <f t="shared" si="55"/>
        <v>0</v>
      </c>
      <c r="N135" s="7">
        <f t="shared" si="55"/>
        <v>0</v>
      </c>
      <c r="O135" s="3"/>
      <c r="P135" s="3" t="str">
        <f>[4]!FormDisp(J135)</f>
        <v>=+J165</v>
      </c>
      <c r="Q135" s="30"/>
      <c r="R135" s="30"/>
      <c r="S135" s="30"/>
      <c r="T135" s="30"/>
      <c r="U135" s="3"/>
      <c r="V135" s="3"/>
    </row>
    <row r="136" spans="1:22" ht="14.25">
      <c r="A136" s="1">
        <f t="shared" si="51"/>
        <v>136</v>
      </c>
      <c r="B136" s="66" t="s">
        <v>245</v>
      </c>
      <c r="C136" s="4"/>
      <c r="D136" s="1"/>
      <c r="E136" s="7">
        <f t="shared" ref="E136:N136" si="56">+E173</f>
        <v>0</v>
      </c>
      <c r="F136" s="7">
        <f t="shared" si="56"/>
        <v>0.69360000000000055</v>
      </c>
      <c r="G136" s="7">
        <f t="shared" si="56"/>
        <v>0.69360000000000055</v>
      </c>
      <c r="H136" s="7">
        <f t="shared" si="56"/>
        <v>0.69360000000000055</v>
      </c>
      <c r="I136" s="7">
        <f t="shared" si="56"/>
        <v>5.1610334537414078</v>
      </c>
      <c r="J136" s="7">
        <f>+J294+J302</f>
        <v>5.1610334537414078</v>
      </c>
      <c r="K136" s="7">
        <f t="shared" si="56"/>
        <v>5.1610334537414078</v>
      </c>
      <c r="L136" s="7">
        <f t="shared" si="56"/>
        <v>5.1610334537414078</v>
      </c>
      <c r="M136" s="7">
        <f t="shared" si="56"/>
        <v>15.191918405176519</v>
      </c>
      <c r="N136" s="7">
        <f t="shared" si="56"/>
        <v>15.191918405176519</v>
      </c>
      <c r="O136" s="3"/>
      <c r="P136" s="3" t="str">
        <f>[4]!FormDisp(J136)</f>
        <v>=+J294+J302</v>
      </c>
      <c r="Q136" s="30"/>
      <c r="R136" s="30"/>
      <c r="S136" s="30"/>
      <c r="T136" s="30"/>
      <c r="U136" s="3"/>
      <c r="V136" s="3"/>
    </row>
    <row r="137" spans="1:22" ht="15">
      <c r="A137" s="1">
        <f t="shared" si="51"/>
        <v>137</v>
      </c>
      <c r="B137" s="65" t="s">
        <v>246</v>
      </c>
      <c r="C137" s="4"/>
      <c r="D137" s="1"/>
      <c r="E137" s="7">
        <f t="shared" ref="E137:N137" si="57">+E172</f>
        <v>0</v>
      </c>
      <c r="F137" s="7">
        <f t="shared" si="57"/>
        <v>0.94225559999999997</v>
      </c>
      <c r="G137" s="7">
        <f t="shared" si="57"/>
        <v>0.9376084800000003</v>
      </c>
      <c r="H137" s="7">
        <f t="shared" si="57"/>
        <v>0.62424000000000035</v>
      </c>
      <c r="I137" s="7">
        <f t="shared" si="57"/>
        <v>5.6909435183488695</v>
      </c>
      <c r="J137" s="7">
        <f t="shared" si="57"/>
        <v>5.1360976854459519</v>
      </c>
      <c r="K137" s="7">
        <f t="shared" si="57"/>
        <v>4.1755953025876718</v>
      </c>
      <c r="L137" s="7">
        <f t="shared" si="57"/>
        <v>3.452308425465648</v>
      </c>
      <c r="M137" s="7">
        <f t="shared" si="57"/>
        <v>13.100296974011467</v>
      </c>
      <c r="N137" s="7">
        <f t="shared" si="57"/>
        <v>11.559836447726569</v>
      </c>
      <c r="O137" s="3"/>
      <c r="P137" s="3" t="str">
        <f>[4]!FormDisp(J137)</f>
        <v>=+J172</v>
      </c>
      <c r="Q137" s="30"/>
      <c r="R137" s="30"/>
      <c r="S137" s="30"/>
      <c r="T137" s="30"/>
      <c r="U137" s="3"/>
      <c r="V137" s="3"/>
    </row>
    <row r="138" spans="1:22" ht="30.75" thickBot="1">
      <c r="A138" s="1">
        <f t="shared" si="51"/>
        <v>138</v>
      </c>
      <c r="B138" s="50" t="s">
        <v>249</v>
      </c>
      <c r="C138" s="4"/>
      <c r="D138" s="9">
        <f>SUM(C128:D137)</f>
        <v>63</v>
      </c>
      <c r="E138" s="7">
        <f t="shared" ref="E138:N138" si="58">SUM(E128:E130)-SUM(E132:E137)</f>
        <v>-34.44683002000005</v>
      </c>
      <c r="F138" s="7">
        <f t="shared" si="58"/>
        <v>-17.578199881782947</v>
      </c>
      <c r="G138" s="7">
        <f t="shared" si="58"/>
        <v>-10.334808479999998</v>
      </c>
      <c r="H138" s="7">
        <f t="shared" si="58"/>
        <v>36.006494537414071</v>
      </c>
      <c r="I138" s="7">
        <f t="shared" si="58"/>
        <v>-17.541376972090276</v>
      </c>
      <c r="J138" s="7">
        <f t="shared" si="58"/>
        <v>-10.297131139187361</v>
      </c>
      <c r="K138" s="7">
        <f t="shared" si="58"/>
        <v>-9.3366287563290804</v>
      </c>
      <c r="L138" s="7">
        <f t="shared" si="58"/>
        <v>91.695507635144068</v>
      </c>
      <c r="M138" s="7">
        <f t="shared" si="58"/>
        <v>-28.292215379187986</v>
      </c>
      <c r="N138" s="7">
        <f t="shared" si="58"/>
        <v>-26.75175485290309</v>
      </c>
      <c r="O138" s="1"/>
      <c r="P138" s="3" t="e">
        <f ca="1">[4]!FormDisp(J138)</f>
        <v>#NAME?</v>
      </c>
      <c r="Q138" s="53"/>
      <c r="R138" s="30"/>
      <c r="S138" s="30"/>
      <c r="T138" s="30"/>
      <c r="U138" s="3"/>
      <c r="V138" s="3"/>
    </row>
    <row r="139" spans="1:22" ht="26.25" thickBot="1">
      <c r="A139" s="1">
        <f t="shared" si="51"/>
        <v>139</v>
      </c>
      <c r="B139" s="110" t="s">
        <v>250</v>
      </c>
      <c r="C139" s="4"/>
      <c r="D139" s="9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3"/>
      <c r="P139" s="3" t="str">
        <f>[4]!FormDisp(J139)</f>
        <v/>
      </c>
      <c r="Q139" s="53"/>
      <c r="R139" s="30"/>
      <c r="S139" s="30"/>
      <c r="T139" s="30"/>
      <c r="U139" s="3"/>
      <c r="V139" s="3"/>
    </row>
    <row r="140" spans="1:22" ht="30">
      <c r="A140" s="1">
        <f t="shared" si="51"/>
        <v>140</v>
      </c>
      <c r="B140" s="50" t="s">
        <v>251</v>
      </c>
      <c r="C140" s="4"/>
      <c r="D140" s="7">
        <f>patrimonio_inicial</f>
        <v>15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3"/>
      <c r="P140" s="3" t="str">
        <f>[4]!FormDisp(J140)</f>
        <v/>
      </c>
      <c r="Q140" s="3"/>
      <c r="R140" s="30"/>
      <c r="S140" s="30"/>
      <c r="T140" s="30"/>
      <c r="U140" s="3"/>
      <c r="V140" s="3"/>
    </row>
    <row r="141" spans="1:22" ht="15">
      <c r="A141" s="1">
        <f t="shared" si="51"/>
        <v>141</v>
      </c>
      <c r="B141" s="50" t="s">
        <v>252</v>
      </c>
      <c r="C141" s="4"/>
      <c r="D141" s="7"/>
      <c r="E141" s="7">
        <f t="shared" ref="E141:N141" si="59">+D192</f>
        <v>0</v>
      </c>
      <c r="F141" s="7">
        <f t="shared" si="59"/>
        <v>7.3133165664000428</v>
      </c>
      <c r="G141" s="7">
        <f t="shared" si="59"/>
        <v>10.989210041969409</v>
      </c>
      <c r="H141" s="7">
        <f t="shared" si="59"/>
        <v>15.275551220191034</v>
      </c>
      <c r="I141" s="7">
        <f t="shared" si="59"/>
        <v>16.8923118844363</v>
      </c>
      <c r="J141" s="7">
        <f>+I192</f>
        <v>15.796012434065116</v>
      </c>
      <c r="K141" s="7">
        <f t="shared" si="59"/>
        <v>21.955500475661765</v>
      </c>
      <c r="L141" s="7">
        <f t="shared" si="59"/>
        <v>25.821836445550296</v>
      </c>
      <c r="M141" s="7">
        <f t="shared" si="59"/>
        <v>29.75725592045022</v>
      </c>
      <c r="N141" s="7">
        <f t="shared" si="59"/>
        <v>10.389206282513491</v>
      </c>
      <c r="O141" s="3"/>
      <c r="P141" s="3" t="str">
        <f>[4]!FormDisp(J141)</f>
        <v>=+I192</v>
      </c>
      <c r="Q141" s="3"/>
      <c r="R141" s="3"/>
      <c r="S141" s="3"/>
      <c r="T141" s="3"/>
      <c r="U141" s="3"/>
      <c r="V141" s="3"/>
    </row>
    <row r="142" spans="1:22" ht="15">
      <c r="A142" s="1">
        <f t="shared" si="51"/>
        <v>142</v>
      </c>
      <c r="B142" s="50" t="s">
        <v>253</v>
      </c>
      <c r="C142" s="4"/>
      <c r="D142" s="7"/>
      <c r="E142" s="7">
        <f t="shared" ref="E142:N142" si="60">+E194</f>
        <v>0</v>
      </c>
      <c r="F142" s="7">
        <f t="shared" si="60"/>
        <v>0</v>
      </c>
      <c r="G142" s="7">
        <f t="shared" si="60"/>
        <v>0</v>
      </c>
      <c r="H142" s="7">
        <f t="shared" si="60"/>
        <v>0</v>
      </c>
      <c r="I142" s="7">
        <f t="shared" si="60"/>
        <v>0</v>
      </c>
      <c r="J142" s="7">
        <f t="shared" si="60"/>
        <v>0</v>
      </c>
      <c r="K142" s="7">
        <f t="shared" si="60"/>
        <v>0</v>
      </c>
      <c r="L142" s="7">
        <f t="shared" si="60"/>
        <v>0</v>
      </c>
      <c r="M142" s="7">
        <f t="shared" si="60"/>
        <v>0</v>
      </c>
      <c r="N142" s="7">
        <f t="shared" si="60"/>
        <v>0</v>
      </c>
      <c r="O142" s="3"/>
      <c r="P142" s="3" t="str">
        <f>[4]!FormDisp(J142)</f>
        <v>=+J194</v>
      </c>
      <c r="Q142" s="3"/>
      <c r="R142" s="3"/>
      <c r="S142" s="3"/>
      <c r="T142" s="3"/>
      <c r="U142" s="3"/>
      <c r="V142" s="3"/>
    </row>
    <row r="143" spans="1:22" ht="30">
      <c r="A143" s="1">
        <f t="shared" si="51"/>
        <v>143</v>
      </c>
      <c r="B143" s="50" t="s">
        <v>254</v>
      </c>
      <c r="C143" s="4"/>
      <c r="D143" s="7">
        <f t="shared" ref="D143:I143" si="61">+D140-D141-D142</f>
        <v>15</v>
      </c>
      <c r="E143" s="7">
        <f t="shared" si="61"/>
        <v>0</v>
      </c>
      <c r="F143" s="7">
        <f t="shared" si="61"/>
        <v>-7.3133165664000428</v>
      </c>
      <c r="G143" s="7">
        <f t="shared" si="61"/>
        <v>-10.989210041969409</v>
      </c>
      <c r="H143" s="7">
        <f t="shared" si="61"/>
        <v>-15.275551220191034</v>
      </c>
      <c r="I143" s="7">
        <f t="shared" si="61"/>
        <v>-16.8923118844363</v>
      </c>
      <c r="J143" s="7">
        <f>+J140-J141-J142</f>
        <v>-15.796012434065116</v>
      </c>
      <c r="K143" s="7">
        <f>+K140-K141-K142</f>
        <v>-21.955500475661765</v>
      </c>
      <c r="L143" s="7">
        <f>+L140-L141-L142</f>
        <v>-25.821836445550296</v>
      </c>
      <c r="M143" s="7">
        <f>+M140-M141-M142</f>
        <v>-29.75725592045022</v>
      </c>
      <c r="N143" s="7">
        <f>+N140-N141-N142</f>
        <v>-10.389206282513491</v>
      </c>
      <c r="O143" s="3"/>
      <c r="P143" s="3" t="str">
        <f>[4]!FormDisp(J143)</f>
        <v>=+J140-J141-J142</v>
      </c>
      <c r="Q143" s="3"/>
      <c r="R143" s="3"/>
      <c r="S143" s="3"/>
      <c r="T143" s="3"/>
      <c r="U143" s="3"/>
      <c r="V143" s="3"/>
    </row>
    <row r="144" spans="1:22" ht="15">
      <c r="A144" s="1">
        <f t="shared" si="51"/>
        <v>144</v>
      </c>
      <c r="B144" s="43" t="s">
        <v>339</v>
      </c>
      <c r="C144" s="4"/>
      <c r="D144" s="7">
        <f>+D143+D138+D125</f>
        <v>13</v>
      </c>
      <c r="E144" s="7">
        <f>+E143+E138+E125</f>
        <v>-3</v>
      </c>
      <c r="F144" s="7">
        <f>+F143+F138+F125</f>
        <v>8.6668047436499407</v>
      </c>
      <c r="G144" s="7">
        <f t="shared" ref="G144:N144" si="62">+G143+G138+G125</f>
        <v>20.741297218198696</v>
      </c>
      <c r="H144" s="7">
        <f t="shared" si="62"/>
        <v>-28.732024956442409</v>
      </c>
      <c r="I144" s="7">
        <f t="shared" si="62"/>
        <v>32.123749347172151</v>
      </c>
      <c r="J144" s="7">
        <f t="shared" si="62"/>
        <v>22.812297924465312</v>
      </c>
      <c r="K144" s="7">
        <f t="shared" si="62"/>
        <v>19.979720841934562</v>
      </c>
      <c r="L144" s="7">
        <f t="shared" si="62"/>
        <v>-79.690733334897232</v>
      </c>
      <c r="M144" s="7">
        <f t="shared" si="62"/>
        <v>18.497200490876914</v>
      </c>
      <c r="N144" s="7">
        <f t="shared" si="62"/>
        <v>43.863203664222702</v>
      </c>
      <c r="O144" s="3"/>
      <c r="P144" s="3" t="e">
        <f ca="1">[4]!FormDisp(J144)</f>
        <v>#NAME?</v>
      </c>
      <c r="Q144" s="3"/>
      <c r="R144" s="3"/>
      <c r="S144" s="3"/>
      <c r="T144" s="3"/>
      <c r="U144" s="3"/>
      <c r="V144" s="3"/>
    </row>
    <row r="145" spans="1:22" ht="30">
      <c r="A145" s="1">
        <f t="shared" si="51"/>
        <v>145</v>
      </c>
      <c r="B145" s="111" t="s">
        <v>255</v>
      </c>
      <c r="C145" s="4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3"/>
      <c r="P145" s="3" t="str">
        <f>[4]!FormDisp(J145)</f>
        <v/>
      </c>
      <c r="Q145" s="3"/>
      <c r="R145" s="3"/>
      <c r="S145" s="3"/>
      <c r="T145" s="3"/>
      <c r="U145" s="3"/>
      <c r="V145" s="3"/>
    </row>
    <row r="146" spans="1:22" ht="30">
      <c r="A146" s="1">
        <f t="shared" si="51"/>
        <v>146</v>
      </c>
      <c r="B146" s="50" t="s">
        <v>256</v>
      </c>
      <c r="C146" s="4"/>
      <c r="D146" s="3"/>
      <c r="E146" s="7">
        <f t="shared" ref="E146:N146" si="63">D148</f>
        <v>0</v>
      </c>
      <c r="F146" s="7">
        <f t="shared" si="63"/>
        <v>0</v>
      </c>
      <c r="G146" s="7">
        <f t="shared" si="63"/>
        <v>7.6668047436499407</v>
      </c>
      <c r="H146" s="7">
        <f t="shared" si="63"/>
        <v>28.116054711877268</v>
      </c>
      <c r="I146" s="7">
        <f t="shared" si="63"/>
        <v>5.3290705182007514E-15</v>
      </c>
      <c r="J146" s="7">
        <f>I148</f>
        <v>31.123749347172158</v>
      </c>
      <c r="K146" s="7">
        <f t="shared" si="63"/>
        <v>55.063299753339294</v>
      </c>
      <c r="L146" s="7">
        <f t="shared" si="63"/>
        <v>76.983689250968894</v>
      </c>
      <c r="M146" s="7">
        <f t="shared" si="63"/>
        <v>0</v>
      </c>
      <c r="N146" s="7">
        <f t="shared" si="63"/>
        <v>17.562451103329128</v>
      </c>
      <c r="O146" s="3"/>
      <c r="P146" s="3" t="str">
        <f>[4]!FormDisp(J146)</f>
        <v>=I148</v>
      </c>
      <c r="Q146" s="3"/>
      <c r="R146" s="3"/>
      <c r="S146" s="3"/>
      <c r="T146" s="3"/>
      <c r="U146" s="3"/>
      <c r="V146" s="3"/>
    </row>
    <row r="147" spans="1:22" ht="30">
      <c r="A147" s="1">
        <f t="shared" si="51"/>
        <v>147</v>
      </c>
      <c r="B147" s="50" t="s">
        <v>257</v>
      </c>
      <c r="C147" s="4"/>
      <c r="D147" s="3"/>
      <c r="E147" s="7">
        <f t="shared" ref="E147:N147" si="64">E58*E146</f>
        <v>0</v>
      </c>
      <c r="F147" s="7">
        <f t="shared" si="64"/>
        <v>0</v>
      </c>
      <c r="G147" s="7">
        <f t="shared" si="64"/>
        <v>0.70795275002863511</v>
      </c>
      <c r="H147" s="7">
        <f t="shared" si="64"/>
        <v>1.615970244565146</v>
      </c>
      <c r="I147" s="7">
        <f t="shared" si="64"/>
        <v>3.3362645979195727E-16</v>
      </c>
      <c r="J147" s="7">
        <f t="shared" si="64"/>
        <v>1.8990933757910811</v>
      </c>
      <c r="K147" s="7">
        <f t="shared" si="64"/>
        <v>2.8499387369834506</v>
      </c>
      <c r="L147" s="7">
        <f t="shared" si="64"/>
        <v>3.5918664812270795</v>
      </c>
      <c r="M147" s="7">
        <f t="shared" si="64"/>
        <v>0</v>
      </c>
      <c r="N147" s="7">
        <f t="shared" si="64"/>
        <v>0.81942006235357834</v>
      </c>
      <c r="O147" s="3"/>
      <c r="P147" s="3" t="str">
        <f>[4]!FormDisp(J147)</f>
        <v>=J58*J146</v>
      </c>
      <c r="Q147" s="3"/>
      <c r="R147" s="3"/>
      <c r="S147" s="3"/>
      <c r="T147" s="3"/>
      <c r="U147" s="3"/>
      <c r="V147" s="3"/>
    </row>
    <row r="148" spans="1:22" ht="15">
      <c r="A148" s="1">
        <f t="shared" si="51"/>
        <v>148</v>
      </c>
      <c r="B148" s="50" t="s">
        <v>258</v>
      </c>
      <c r="C148" s="4"/>
      <c r="D148" s="17">
        <f>IF(D129&gt;0,0,(IF((C151+D125+D138+D143+D146+D147-D61)&gt;0,C151+D125+D138+D143+D146+D147-D61,0)))</f>
        <v>0</v>
      </c>
      <c r="E148" s="17">
        <f>IF(E129&gt;0,0,(IF((D151+E144+E146+E147-E61)&gt;0,D151+E144+E146+E147-E61,0)))</f>
        <v>0</v>
      </c>
      <c r="F148" s="17">
        <f>IF(F129&gt;0,0,(IF((E151+F144+F146+F147-F33)&gt;0,E151+F144+F146+F147-F33,0)))</f>
        <v>7.6668047436499407</v>
      </c>
      <c r="G148" s="17">
        <f>IF(G129&gt;0,0,(IF((F151+G144+G146+G147-G33)&gt;0,F151+G144+G146+G147-G33,0)))</f>
        <v>28.116054711877268</v>
      </c>
      <c r="H148" s="17">
        <f>IF(H129&gt;0,0,(IF((G151+H144+H146+H147-H33)&gt;0,G151+H144+H146+H147-H33,0)))</f>
        <v>5.3290705182007514E-15</v>
      </c>
      <c r="I148" s="17">
        <f>IF(I129&gt;0,0,(IF((H151+I144+I146+I147-I33)&gt;0,H151+I144+I146+I147-I33,0)))</f>
        <v>31.123749347172158</v>
      </c>
      <c r="J148" s="17">
        <f>IF(J129&gt;0,0,(IF((I151+J144+J146+J147-J61)&gt;0,I151+J144+J146+J147-J61,0)))</f>
        <v>55.063299753339294</v>
      </c>
      <c r="K148" s="17">
        <f>IF(K129&gt;0,0,(IF((J151+K144+K146+K147-K61)&gt;0,J151+K144+K146+K147-K61,0)))</f>
        <v>76.983689250968894</v>
      </c>
      <c r="L148" s="17">
        <f>IF(L129&gt;0,0,(IF((K151+L144+L146+L147-L61)&gt;0,K151+L144+L146+L147-L61,0)))</f>
        <v>0</v>
      </c>
      <c r="M148" s="17">
        <f>IF(M129&gt;0,0,(IF((L151+M144+M146+M147-M61)&gt;0,L151+M144+M146+M147-M61,0)))</f>
        <v>17.562451103329128</v>
      </c>
      <c r="N148" s="17">
        <f>IF(N129&gt;0,0,(IF((M151+N144+N146+N147-N61)&gt;0,M151+N144+N146+N147-N61,0)))</f>
        <v>61.257581271663213</v>
      </c>
      <c r="O148" s="3"/>
      <c r="P148" s="3" t="e">
        <f ca="1">[4]!FormDisp(J148)</f>
        <v>#NAME?</v>
      </c>
      <c r="Q148" s="3"/>
      <c r="R148" s="3"/>
      <c r="S148" s="3"/>
      <c r="T148" s="3"/>
      <c r="U148" s="3"/>
      <c r="V148" s="3"/>
    </row>
    <row r="149" spans="1:22" ht="30">
      <c r="A149" s="1">
        <f t="shared" si="51"/>
        <v>149</v>
      </c>
      <c r="B149" s="50" t="s">
        <v>259</v>
      </c>
      <c r="C149" s="4"/>
      <c r="D149" s="7">
        <f t="shared" ref="D149:I149" si="65">+D146+D147-D148</f>
        <v>0</v>
      </c>
      <c r="E149" s="7">
        <f t="shared" si="65"/>
        <v>0</v>
      </c>
      <c r="F149" s="7">
        <f t="shared" si="65"/>
        <v>-7.6668047436499407</v>
      </c>
      <c r="G149" s="7">
        <f t="shared" si="65"/>
        <v>-19.741297218198692</v>
      </c>
      <c r="H149" s="7">
        <f t="shared" si="65"/>
        <v>29.732024956442409</v>
      </c>
      <c r="I149" s="7">
        <f t="shared" si="65"/>
        <v>-31.123749347172151</v>
      </c>
      <c r="J149" s="7">
        <f>+J146+J147-J148</f>
        <v>-22.040457030376054</v>
      </c>
      <c r="K149" s="7">
        <f>+K146+K147-K148</f>
        <v>-19.070450760646146</v>
      </c>
      <c r="L149" s="7">
        <f>+L146+L147-L148</f>
        <v>80.57555573219598</v>
      </c>
      <c r="M149" s="7">
        <f>+M146+M147-M148</f>
        <v>-17.562451103329128</v>
      </c>
      <c r="N149" s="7">
        <f>+N146+N147-N148</f>
        <v>-42.875710105980502</v>
      </c>
      <c r="O149" s="3"/>
      <c r="P149" s="3" t="e">
        <f ca="1">[4]!FormDisp(J149)</f>
        <v>#NAME?</v>
      </c>
      <c r="Q149" s="3"/>
      <c r="R149" s="3"/>
      <c r="S149" s="3"/>
      <c r="T149" s="3"/>
      <c r="U149" s="3"/>
      <c r="V149" s="3"/>
    </row>
    <row r="150" spans="1:22" ht="15">
      <c r="A150" s="1">
        <f t="shared" si="51"/>
        <v>150</v>
      </c>
      <c r="B150" s="50" t="s">
        <v>260</v>
      </c>
      <c r="C150" s="4"/>
      <c r="D150" s="7">
        <f>+D120+D124+D138+D143+D149</f>
        <v>13</v>
      </c>
      <c r="E150" s="7">
        <f t="shared" ref="E150:N150" si="66">+E149+E143+E138+E124+E120</f>
        <v>-3</v>
      </c>
      <c r="F150" s="7">
        <f t="shared" si="66"/>
        <v>1</v>
      </c>
      <c r="G150" s="7">
        <f t="shared" si="66"/>
        <v>1</v>
      </c>
      <c r="H150" s="7">
        <f t="shared" si="66"/>
        <v>1</v>
      </c>
      <c r="I150" s="7">
        <f t="shared" si="66"/>
        <v>1</v>
      </c>
      <c r="J150" s="17">
        <f t="shared" si="66"/>
        <v>0.77184089408926582</v>
      </c>
      <c r="K150" s="17">
        <f t="shared" si="66"/>
        <v>0.9092700812884118</v>
      </c>
      <c r="L150" s="17">
        <f t="shared" si="66"/>
        <v>0.88482239729873413</v>
      </c>
      <c r="M150" s="17">
        <f t="shared" si="66"/>
        <v>0.93474938754778236</v>
      </c>
      <c r="N150" s="17">
        <f t="shared" si="66"/>
        <v>0.98749355824219265</v>
      </c>
      <c r="O150" s="3"/>
      <c r="P150" s="3" t="e">
        <f ca="1">[4]!FormDisp(J150)</f>
        <v>#NAME?</v>
      </c>
      <c r="Q150" s="3"/>
      <c r="R150" s="3"/>
      <c r="S150" s="3"/>
      <c r="T150" s="3"/>
      <c r="U150" s="3"/>
      <c r="V150" s="3"/>
    </row>
    <row r="151" spans="1:22" ht="15">
      <c r="A151" s="1">
        <f t="shared" si="51"/>
        <v>151</v>
      </c>
      <c r="B151" s="50" t="s">
        <v>261</v>
      </c>
      <c r="C151" s="4"/>
      <c r="D151" s="7">
        <f>+D150</f>
        <v>13</v>
      </c>
      <c r="E151" s="7">
        <f t="shared" ref="E151:N151" si="67">+D151+E150</f>
        <v>10</v>
      </c>
      <c r="F151" s="7">
        <f t="shared" si="67"/>
        <v>11</v>
      </c>
      <c r="G151" s="7">
        <f t="shared" si="67"/>
        <v>12</v>
      </c>
      <c r="H151" s="7">
        <f t="shared" si="67"/>
        <v>13</v>
      </c>
      <c r="I151" s="7">
        <f t="shared" si="67"/>
        <v>14</v>
      </c>
      <c r="J151" s="7">
        <f>+I151+J150</f>
        <v>14.771840894089266</v>
      </c>
      <c r="K151" s="7">
        <f t="shared" si="67"/>
        <v>15.681110975377678</v>
      </c>
      <c r="L151" s="7">
        <f t="shared" si="67"/>
        <v>16.565933372676412</v>
      </c>
      <c r="M151" s="7">
        <f t="shared" si="67"/>
        <v>17.500682760224194</v>
      </c>
      <c r="N151" s="7">
        <f t="shared" si="67"/>
        <v>18.488176318466387</v>
      </c>
      <c r="O151" s="3"/>
      <c r="P151" s="3" t="e">
        <f ca="1">[4]!FormDisp(J151)</f>
        <v>#NAME?</v>
      </c>
      <c r="Q151" s="3"/>
      <c r="R151" s="3"/>
      <c r="S151" s="3"/>
      <c r="T151" s="3"/>
      <c r="U151" s="3"/>
      <c r="V151" s="3"/>
    </row>
    <row r="152" spans="1:22" ht="15">
      <c r="A152" s="1">
        <f t="shared" si="51"/>
        <v>152</v>
      </c>
      <c r="B152" s="50"/>
      <c r="C152" s="4"/>
      <c r="D152" s="7"/>
      <c r="E152" s="7"/>
      <c r="F152" s="7"/>
      <c r="G152" s="7"/>
      <c r="H152" s="7"/>
      <c r="I152" s="7"/>
      <c r="J152" s="30"/>
      <c r="K152" s="30"/>
      <c r="L152" s="30"/>
      <c r="M152" s="30"/>
      <c r="N152" s="30"/>
      <c r="O152" s="3"/>
      <c r="P152" s="3" t="str">
        <f>[4]!FormDisp(J152)</f>
        <v/>
      </c>
      <c r="Q152" s="3"/>
      <c r="R152" s="3"/>
      <c r="S152" s="3"/>
      <c r="T152" s="3"/>
      <c r="U152" s="3"/>
      <c r="V152" s="3"/>
    </row>
    <row r="153" spans="1:22" ht="15">
      <c r="A153" s="1">
        <f t="shared" si="51"/>
        <v>153</v>
      </c>
      <c r="B153" s="50"/>
      <c r="C153" s="4"/>
      <c r="D153" s="7"/>
      <c r="E153" s="7"/>
      <c r="F153" s="7"/>
      <c r="G153" s="7"/>
      <c r="H153" s="7"/>
      <c r="I153" s="7"/>
      <c r="J153" s="25"/>
      <c r="K153" s="25"/>
      <c r="L153" s="3"/>
      <c r="M153" s="3"/>
      <c r="N153" s="3"/>
      <c r="O153" s="3"/>
      <c r="P153" s="3" t="str">
        <f>[4]!FormDisp(J153)</f>
        <v/>
      </c>
      <c r="Q153" s="3"/>
      <c r="R153" s="3"/>
      <c r="S153" s="3"/>
      <c r="T153" s="3"/>
      <c r="U153" s="3"/>
      <c r="V153" s="3"/>
    </row>
    <row r="154" spans="1:22" ht="15">
      <c r="A154" s="1">
        <f t="shared" si="51"/>
        <v>154</v>
      </c>
      <c r="B154" s="109" t="s">
        <v>53</v>
      </c>
      <c r="C154" s="4"/>
      <c r="D154" s="7"/>
      <c r="E154" s="7"/>
      <c r="F154" s="7"/>
      <c r="G154" s="7"/>
      <c r="H154" s="7"/>
      <c r="I154" s="7"/>
      <c r="J154" s="25"/>
      <c r="K154" s="25"/>
      <c r="L154" s="3"/>
      <c r="M154" s="3"/>
      <c r="N154" s="3"/>
      <c r="O154" s="3"/>
      <c r="P154" s="3" t="str">
        <f>[4]!FormDisp(J154)</f>
        <v/>
      </c>
      <c r="Q154" s="3"/>
      <c r="R154" s="3"/>
      <c r="S154" s="3"/>
      <c r="T154" s="3"/>
      <c r="U154" s="3"/>
      <c r="V154" s="3"/>
    </row>
    <row r="155" spans="1:22" ht="15">
      <c r="A155" s="1">
        <f t="shared" si="51"/>
        <v>155</v>
      </c>
      <c r="B155" s="6"/>
      <c r="C155" s="69" t="s">
        <v>70</v>
      </c>
      <c r="D155" s="69">
        <v>0</v>
      </c>
      <c r="E155" s="69">
        <v>1</v>
      </c>
      <c r="F155" s="69">
        <v>2</v>
      </c>
      <c r="G155" s="69">
        <v>3</v>
      </c>
      <c r="H155" s="69">
        <v>4</v>
      </c>
      <c r="I155" s="69">
        <v>5</v>
      </c>
      <c r="J155" s="75"/>
      <c r="K155" s="75"/>
      <c r="L155" s="3"/>
      <c r="M155" s="3"/>
      <c r="N155" s="3"/>
      <c r="O155" s="3"/>
      <c r="P155" s="3" t="str">
        <f>[4]!FormDisp(J155)</f>
        <v/>
      </c>
      <c r="Q155" s="3"/>
      <c r="R155" s="3"/>
      <c r="S155" s="3"/>
      <c r="T155" s="3"/>
      <c r="U155" s="3"/>
      <c r="V155" s="3"/>
    </row>
    <row r="156" spans="1:22" ht="15">
      <c r="A156" s="1">
        <f t="shared" si="51"/>
        <v>156</v>
      </c>
      <c r="B156" s="6" t="s">
        <v>54</v>
      </c>
      <c r="C156" s="4"/>
      <c r="D156" s="7"/>
      <c r="E156" s="7">
        <f t="shared" ref="E156:N156" si="68">D160</f>
        <v>30</v>
      </c>
      <c r="F156" s="7">
        <f t="shared" si="68"/>
        <v>24</v>
      </c>
      <c r="G156" s="7">
        <f t="shared" si="68"/>
        <v>18</v>
      </c>
      <c r="H156" s="7">
        <f t="shared" si="68"/>
        <v>12</v>
      </c>
      <c r="I156" s="7">
        <f t="shared" si="68"/>
        <v>6</v>
      </c>
      <c r="J156" s="7">
        <f>I160</f>
        <v>0</v>
      </c>
      <c r="K156" s="7">
        <f t="shared" si="68"/>
        <v>0</v>
      </c>
      <c r="L156" s="7">
        <f t="shared" si="68"/>
        <v>0</v>
      </c>
      <c r="M156" s="7">
        <f t="shared" si="68"/>
        <v>0</v>
      </c>
      <c r="N156" s="7">
        <f t="shared" si="68"/>
        <v>0</v>
      </c>
      <c r="O156" s="3"/>
      <c r="P156" s="3" t="str">
        <f>[4]!FormDisp(J156)</f>
        <v>=I160</v>
      </c>
      <c r="Q156" s="3"/>
      <c r="R156" s="3"/>
      <c r="S156" s="3"/>
      <c r="T156" s="3"/>
      <c r="U156" s="3"/>
      <c r="V156" s="3"/>
    </row>
    <row r="157" spans="1:22" ht="15">
      <c r="A157" s="1">
        <f t="shared" si="51"/>
        <v>157</v>
      </c>
      <c r="B157" s="33" t="s">
        <v>55</v>
      </c>
      <c r="C157" s="4"/>
      <c r="D157" s="7"/>
      <c r="E157" s="7">
        <f t="shared" ref="E157:N157" si="69">E161*E156</f>
        <v>3.9360000000000044</v>
      </c>
      <c r="F157" s="7">
        <f t="shared" si="69"/>
        <v>3.2603999999999971</v>
      </c>
      <c r="G157" s="7">
        <f t="shared" si="69"/>
        <v>2.7035999999999989</v>
      </c>
      <c r="H157" s="7">
        <f t="shared" si="69"/>
        <v>1.3499999999999999</v>
      </c>
      <c r="I157" s="7">
        <f t="shared" si="69"/>
        <v>0.68939999999999912</v>
      </c>
      <c r="J157" s="7">
        <f t="shared" si="69"/>
        <v>0</v>
      </c>
      <c r="K157" s="7">
        <f t="shared" si="69"/>
        <v>0</v>
      </c>
      <c r="L157" s="7">
        <f t="shared" si="69"/>
        <v>0</v>
      </c>
      <c r="M157" s="7">
        <f t="shared" si="69"/>
        <v>0</v>
      </c>
      <c r="N157" s="7">
        <f t="shared" si="69"/>
        <v>0</v>
      </c>
      <c r="O157" s="3"/>
      <c r="P157" s="3" t="str">
        <f>[4]!FormDisp(J157)</f>
        <v>=J161*J156</v>
      </c>
      <c r="Q157" s="3"/>
      <c r="R157" s="3"/>
      <c r="S157" s="3"/>
      <c r="T157" s="3"/>
      <c r="U157" s="3"/>
      <c r="V157" s="3"/>
    </row>
    <row r="158" spans="1:22" ht="15">
      <c r="A158" s="1">
        <f t="shared" si="51"/>
        <v>158</v>
      </c>
      <c r="B158" s="6" t="s">
        <v>167</v>
      </c>
      <c r="C158" s="4"/>
      <c r="D158" s="7"/>
      <c r="E158" s="7">
        <f>+($D$160)/$D$13</f>
        <v>6</v>
      </c>
      <c r="F158" s="7">
        <f>+($D$160)/$D$13</f>
        <v>6</v>
      </c>
      <c r="G158" s="7">
        <f>+($D$160)/$D$13</f>
        <v>6</v>
      </c>
      <c r="H158" s="7">
        <f>+($D$160)/$D$13</f>
        <v>6</v>
      </c>
      <c r="I158" s="7">
        <f>+($D$160)/$D$13</f>
        <v>6</v>
      </c>
      <c r="J158" s="7"/>
      <c r="K158" s="7"/>
      <c r="L158" s="7"/>
      <c r="M158" s="7"/>
      <c r="N158" s="7"/>
      <c r="O158" s="3"/>
      <c r="P158" s="3" t="str">
        <f>[4]!FormDisp(J158)</f>
        <v/>
      </c>
      <c r="Q158" s="3"/>
      <c r="R158" s="3"/>
      <c r="S158" s="3"/>
      <c r="T158" s="3"/>
      <c r="U158" s="3"/>
      <c r="V158" s="3"/>
    </row>
    <row r="159" spans="1:22" ht="15">
      <c r="A159" s="1">
        <f t="shared" si="51"/>
        <v>159</v>
      </c>
      <c r="B159" s="6" t="s">
        <v>56</v>
      </c>
      <c r="C159" s="4"/>
      <c r="D159" s="7"/>
      <c r="E159" s="7">
        <f t="shared" ref="E159:N159" si="70">E157+E158</f>
        <v>9.9360000000000035</v>
      </c>
      <c r="F159" s="7">
        <f t="shared" si="70"/>
        <v>9.2603999999999971</v>
      </c>
      <c r="G159" s="7">
        <f t="shared" si="70"/>
        <v>8.703599999999998</v>
      </c>
      <c r="H159" s="7">
        <f t="shared" si="70"/>
        <v>7.35</v>
      </c>
      <c r="I159" s="7">
        <f t="shared" si="70"/>
        <v>6.6893999999999991</v>
      </c>
      <c r="J159" s="7">
        <f t="shared" si="70"/>
        <v>0</v>
      </c>
      <c r="K159" s="7">
        <f t="shared" si="70"/>
        <v>0</v>
      </c>
      <c r="L159" s="7">
        <f t="shared" si="70"/>
        <v>0</v>
      </c>
      <c r="M159" s="7">
        <f t="shared" si="70"/>
        <v>0</v>
      </c>
      <c r="N159" s="7">
        <f t="shared" si="70"/>
        <v>0</v>
      </c>
      <c r="O159" s="3"/>
      <c r="P159" s="3" t="str">
        <f>[4]!FormDisp(J159)</f>
        <v>=J157+J158</v>
      </c>
      <c r="Q159" s="3"/>
      <c r="R159" s="3"/>
      <c r="S159" s="3"/>
      <c r="T159" s="3"/>
      <c r="U159" s="3"/>
      <c r="V159" s="3"/>
    </row>
    <row r="160" spans="1:22" ht="15">
      <c r="A160" s="1">
        <f t="shared" si="51"/>
        <v>160</v>
      </c>
      <c r="B160" s="6" t="s">
        <v>57</v>
      </c>
      <c r="C160" s="4"/>
      <c r="D160" s="7">
        <f>+D128</f>
        <v>30</v>
      </c>
      <c r="E160" s="7">
        <f t="shared" ref="E160:N160" si="71">E156-E158</f>
        <v>24</v>
      </c>
      <c r="F160" s="7">
        <f t="shared" si="71"/>
        <v>18</v>
      </c>
      <c r="G160" s="7">
        <f t="shared" si="71"/>
        <v>12</v>
      </c>
      <c r="H160" s="7">
        <f t="shared" si="71"/>
        <v>6</v>
      </c>
      <c r="I160" s="7">
        <f t="shared" si="71"/>
        <v>0</v>
      </c>
      <c r="J160" s="7">
        <f t="shared" si="71"/>
        <v>0</v>
      </c>
      <c r="K160" s="7">
        <f t="shared" si="71"/>
        <v>0</v>
      </c>
      <c r="L160" s="7">
        <f t="shared" si="71"/>
        <v>0</v>
      </c>
      <c r="M160" s="7">
        <f t="shared" si="71"/>
        <v>0</v>
      </c>
      <c r="N160" s="7">
        <f t="shared" si="71"/>
        <v>0</v>
      </c>
      <c r="O160" s="3"/>
      <c r="P160" s="3" t="str">
        <f>[4]!FormDisp(J160)</f>
        <v>=J156-J158</v>
      </c>
      <c r="Q160" s="3"/>
      <c r="R160" s="3"/>
      <c r="S160" s="3"/>
      <c r="T160" s="3"/>
      <c r="U160" s="3"/>
      <c r="V160" s="3"/>
    </row>
    <row r="161" spans="1:22" ht="15">
      <c r="A161" s="1">
        <f t="shared" si="51"/>
        <v>161</v>
      </c>
      <c r="B161" s="6" t="s">
        <v>58</v>
      </c>
      <c r="C161" s="4"/>
      <c r="D161" s="7"/>
      <c r="E161" s="19">
        <f t="shared" ref="E161:N161" si="72">+E60</f>
        <v>0.13120000000000015</v>
      </c>
      <c r="F161" s="19">
        <f t="shared" si="72"/>
        <v>0.13584999999999989</v>
      </c>
      <c r="G161" s="19">
        <f t="shared" si="72"/>
        <v>0.15019999999999994</v>
      </c>
      <c r="H161" s="19">
        <f t="shared" si="72"/>
        <v>0.11249999999999999</v>
      </c>
      <c r="I161" s="19">
        <f t="shared" si="72"/>
        <v>0.11489999999999985</v>
      </c>
      <c r="J161" s="19">
        <f t="shared" si="72"/>
        <v>0.1157600000000001</v>
      </c>
      <c r="K161" s="19">
        <f t="shared" si="72"/>
        <v>0.10649999999999983</v>
      </c>
      <c r="L161" s="19">
        <f t="shared" si="72"/>
        <v>0.10139999999999995</v>
      </c>
      <c r="M161" s="19">
        <f t="shared" si="72"/>
        <v>0.10139999999999995</v>
      </c>
      <c r="N161" s="19">
        <f t="shared" si="72"/>
        <v>0.10139999999999995</v>
      </c>
      <c r="O161" s="3"/>
      <c r="P161" s="3" t="str">
        <f>[4]!FormDisp(J161)</f>
        <v>=+J60</v>
      </c>
      <c r="Q161" s="3"/>
      <c r="R161" s="3"/>
      <c r="S161" s="3"/>
      <c r="T161" s="3"/>
      <c r="U161" s="3"/>
      <c r="V161" s="3"/>
    </row>
    <row r="162" spans="1:22" ht="15">
      <c r="A162" s="1">
        <f t="shared" si="51"/>
        <v>162</v>
      </c>
      <c r="B162" s="33" t="s">
        <v>59</v>
      </c>
      <c r="C162" s="4"/>
      <c r="D162" s="46"/>
      <c r="E162" s="47"/>
      <c r="F162" s="47"/>
      <c r="G162" s="47"/>
      <c r="H162" s="48"/>
      <c r="I162" s="48"/>
      <c r="J162" s="48"/>
      <c r="K162" s="48"/>
      <c r="L162" s="48"/>
      <c r="M162" s="48"/>
      <c r="N162" s="48"/>
      <c r="O162" s="3"/>
      <c r="P162" s="3" t="str">
        <f>[4]!FormDisp(J162)</f>
        <v/>
      </c>
      <c r="Q162" s="3"/>
      <c r="R162" s="3"/>
      <c r="S162" s="3"/>
      <c r="T162" s="3"/>
      <c r="U162" s="3"/>
      <c r="V162" s="3"/>
    </row>
    <row r="163" spans="1:22" ht="15">
      <c r="A163" s="1">
        <f t="shared" si="51"/>
        <v>163</v>
      </c>
      <c r="B163" s="6"/>
      <c r="C163" s="69" t="s">
        <v>70</v>
      </c>
      <c r="D163" s="69">
        <v>0</v>
      </c>
      <c r="E163" s="69">
        <v>1</v>
      </c>
      <c r="F163" s="69">
        <v>2</v>
      </c>
      <c r="G163" s="69">
        <v>3</v>
      </c>
      <c r="H163" s="69">
        <v>4</v>
      </c>
      <c r="I163" s="69">
        <v>5</v>
      </c>
      <c r="J163" s="69">
        <v>6</v>
      </c>
      <c r="K163" s="69">
        <v>7</v>
      </c>
      <c r="L163" s="69">
        <v>8</v>
      </c>
      <c r="M163" s="69">
        <v>9</v>
      </c>
      <c r="N163" s="69">
        <v>10</v>
      </c>
      <c r="O163" s="3"/>
      <c r="P163" s="3" t="str">
        <f>[4]!FormDisp(J163)</f>
        <v>6</v>
      </c>
      <c r="Q163" s="3"/>
      <c r="R163" s="3"/>
      <c r="S163" s="3"/>
      <c r="T163" s="3"/>
      <c r="U163" s="3"/>
      <c r="V163" s="3"/>
    </row>
    <row r="164" spans="1:22" ht="15">
      <c r="A164" s="1">
        <f t="shared" si="51"/>
        <v>164</v>
      </c>
      <c r="B164" s="6" t="s">
        <v>54</v>
      </c>
      <c r="C164" s="4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3"/>
      <c r="P164" s="3" t="str">
        <f>[4]!FormDisp(J164)</f>
        <v/>
      </c>
      <c r="Q164" s="3"/>
      <c r="R164" s="3"/>
      <c r="S164" s="3"/>
      <c r="T164" s="3"/>
      <c r="U164" s="3"/>
      <c r="V164" s="3"/>
    </row>
    <row r="165" spans="1:22" ht="15">
      <c r="A165" s="1">
        <f t="shared" si="51"/>
        <v>165</v>
      </c>
      <c r="B165" s="33" t="s">
        <v>60</v>
      </c>
      <c r="C165" s="4"/>
      <c r="D165" s="7"/>
      <c r="E165" s="7">
        <f t="shared" ref="E165:N165" si="73">+D168*E169</f>
        <v>4.3296000000000046</v>
      </c>
      <c r="F165" s="7">
        <f t="shared" si="73"/>
        <v>0.7991743017829932</v>
      </c>
      <c r="G165" s="7">
        <f t="shared" si="73"/>
        <v>0</v>
      </c>
      <c r="H165" s="7">
        <f t="shared" si="73"/>
        <v>0</v>
      </c>
      <c r="I165" s="7">
        <f t="shared" si="73"/>
        <v>0</v>
      </c>
      <c r="J165" s="7">
        <f>+I168*J169</f>
        <v>0</v>
      </c>
      <c r="K165" s="7">
        <f t="shared" si="73"/>
        <v>0</v>
      </c>
      <c r="L165" s="7">
        <f t="shared" si="73"/>
        <v>0</v>
      </c>
      <c r="M165" s="7">
        <f t="shared" si="73"/>
        <v>0</v>
      </c>
      <c r="N165" s="7">
        <f t="shared" si="73"/>
        <v>0</v>
      </c>
      <c r="O165" s="3"/>
      <c r="P165" s="3" t="str">
        <f>[4]!FormDisp(J165)</f>
        <v>=+I168*J169</v>
      </c>
      <c r="Q165" s="3"/>
      <c r="R165" s="3"/>
      <c r="S165" s="3"/>
      <c r="T165" s="3"/>
      <c r="U165" s="3"/>
      <c r="V165" s="3"/>
    </row>
    <row r="166" spans="1:22" ht="15">
      <c r="A166" s="1">
        <f t="shared" si="51"/>
        <v>166</v>
      </c>
      <c r="B166" s="33" t="s">
        <v>168</v>
      </c>
      <c r="C166" s="4"/>
      <c r="D166" s="7"/>
      <c r="E166" s="7">
        <f t="shared" ref="E166:N166" si="74">+D168/$D$15</f>
        <v>33</v>
      </c>
      <c r="F166" s="7">
        <f t="shared" si="74"/>
        <v>5.8827699799999547</v>
      </c>
      <c r="G166" s="7">
        <f t="shared" si="74"/>
        <v>0</v>
      </c>
      <c r="H166" s="7">
        <f t="shared" si="74"/>
        <v>0</v>
      </c>
      <c r="I166" s="7">
        <f t="shared" si="74"/>
        <v>0</v>
      </c>
      <c r="J166" s="7">
        <f>+I168/$D$15</f>
        <v>0</v>
      </c>
      <c r="K166" s="7">
        <f t="shared" si="74"/>
        <v>0</v>
      </c>
      <c r="L166" s="7">
        <f t="shared" si="74"/>
        <v>0</v>
      </c>
      <c r="M166" s="7">
        <f t="shared" si="74"/>
        <v>0</v>
      </c>
      <c r="N166" s="7">
        <f t="shared" si="74"/>
        <v>0</v>
      </c>
      <c r="O166" s="3"/>
      <c r="P166" s="3" t="str">
        <f>[4]!FormDisp(J166)</f>
        <v>=+I168/$D$15</v>
      </c>
      <c r="Q166" s="3"/>
      <c r="R166" s="3"/>
      <c r="S166" s="3"/>
      <c r="T166" s="3"/>
      <c r="U166" s="3"/>
      <c r="V166" s="3"/>
    </row>
    <row r="167" spans="1:22" ht="15">
      <c r="A167" s="1">
        <f t="shared" si="51"/>
        <v>167</v>
      </c>
      <c r="B167" s="33" t="s">
        <v>61</v>
      </c>
      <c r="C167" s="4"/>
      <c r="D167" s="7"/>
      <c r="E167" s="7">
        <f t="shared" ref="E167:N167" si="75">SUM(E165:E166)</f>
        <v>37.329600000000006</v>
      </c>
      <c r="F167" s="7">
        <f t="shared" si="75"/>
        <v>6.6819442817829477</v>
      </c>
      <c r="G167" s="7">
        <f t="shared" si="75"/>
        <v>0</v>
      </c>
      <c r="H167" s="7">
        <f t="shared" si="75"/>
        <v>0</v>
      </c>
      <c r="I167" s="7">
        <f t="shared" si="75"/>
        <v>0</v>
      </c>
      <c r="J167" s="7">
        <f t="shared" si="75"/>
        <v>0</v>
      </c>
      <c r="K167" s="7">
        <f t="shared" si="75"/>
        <v>0</v>
      </c>
      <c r="L167" s="7">
        <f t="shared" si="75"/>
        <v>0</v>
      </c>
      <c r="M167" s="7">
        <f t="shared" si="75"/>
        <v>0</v>
      </c>
      <c r="N167" s="7">
        <f t="shared" si="75"/>
        <v>0</v>
      </c>
      <c r="O167" s="3"/>
      <c r="P167" s="3" t="str">
        <f>[4]!FormDisp(J167)</f>
        <v>=SUM(J165:J166)</v>
      </c>
      <c r="Q167" s="3"/>
      <c r="R167" s="3"/>
      <c r="S167" s="3"/>
      <c r="T167" s="3"/>
      <c r="U167" s="3"/>
      <c r="V167" s="3"/>
    </row>
    <row r="168" spans="1:22" ht="15">
      <c r="A168" s="1">
        <f t="shared" si="51"/>
        <v>168</v>
      </c>
      <c r="B168" s="6" t="s">
        <v>57</v>
      </c>
      <c r="C168" s="4"/>
      <c r="D168" s="7">
        <f>+D129</f>
        <v>33</v>
      </c>
      <c r="E168" s="7">
        <f t="shared" ref="E168:N168" si="76">+D168-E166+E129</f>
        <v>5.8827699799999547</v>
      </c>
      <c r="F168" s="7">
        <f t="shared" si="76"/>
        <v>0</v>
      </c>
      <c r="G168" s="7">
        <f t="shared" si="76"/>
        <v>0</v>
      </c>
      <c r="H168" s="7">
        <f t="shared" si="76"/>
        <v>0</v>
      </c>
      <c r="I168" s="7">
        <f t="shared" si="76"/>
        <v>0</v>
      </c>
      <c r="J168" s="7">
        <f>+I168-J166+J129</f>
        <v>0</v>
      </c>
      <c r="K168" s="7">
        <f t="shared" si="76"/>
        <v>0</v>
      </c>
      <c r="L168" s="7">
        <f t="shared" si="76"/>
        <v>0</v>
      </c>
      <c r="M168" s="7">
        <f t="shared" si="76"/>
        <v>0</v>
      </c>
      <c r="N168" s="7">
        <f t="shared" si="76"/>
        <v>0</v>
      </c>
      <c r="O168" s="3"/>
      <c r="P168" s="3" t="e">
        <f ca="1">[4]!FormDisp(J168)</f>
        <v>#NAME?</v>
      </c>
      <c r="Q168" s="3"/>
      <c r="R168" s="3"/>
      <c r="S168" s="3"/>
      <c r="T168" s="3"/>
      <c r="U168" s="3"/>
      <c r="V168" s="3"/>
    </row>
    <row r="169" spans="1:22" ht="15">
      <c r="A169" s="1">
        <f t="shared" si="51"/>
        <v>169</v>
      </c>
      <c r="B169" s="6" t="s">
        <v>58</v>
      </c>
      <c r="C169" s="4"/>
      <c r="D169" s="7"/>
      <c r="E169" s="19">
        <f t="shared" ref="E169:N169" si="77">+E161</f>
        <v>0.13120000000000015</v>
      </c>
      <c r="F169" s="19">
        <f t="shared" si="77"/>
        <v>0.13584999999999989</v>
      </c>
      <c r="G169" s="19">
        <f t="shared" si="77"/>
        <v>0.15019999999999994</v>
      </c>
      <c r="H169" s="19">
        <f t="shared" si="77"/>
        <v>0.11249999999999999</v>
      </c>
      <c r="I169" s="19">
        <f t="shared" si="77"/>
        <v>0.11489999999999985</v>
      </c>
      <c r="J169" s="19">
        <f t="shared" si="77"/>
        <v>0.1157600000000001</v>
      </c>
      <c r="K169" s="19">
        <f t="shared" si="77"/>
        <v>0.10649999999999983</v>
      </c>
      <c r="L169" s="19">
        <f t="shared" si="77"/>
        <v>0.10139999999999995</v>
      </c>
      <c r="M169" s="19">
        <f t="shared" si="77"/>
        <v>0.10139999999999995</v>
      </c>
      <c r="N169" s="19">
        <f t="shared" si="77"/>
        <v>0.10139999999999995</v>
      </c>
      <c r="O169" s="3"/>
      <c r="P169" s="3" t="str">
        <f>[4]!FormDisp(J169)</f>
        <v>=+J161</v>
      </c>
      <c r="Q169" s="3"/>
      <c r="R169" s="3"/>
      <c r="S169" s="3"/>
      <c r="T169" s="3"/>
      <c r="U169" s="3"/>
      <c r="V169" s="3"/>
    </row>
    <row r="170" spans="1:22" ht="15">
      <c r="A170" s="1">
        <f t="shared" si="51"/>
        <v>170</v>
      </c>
      <c r="B170" s="6"/>
      <c r="C170" s="69" t="s">
        <v>70</v>
      </c>
      <c r="D170" s="69">
        <v>0</v>
      </c>
      <c r="E170" s="69">
        <v>1</v>
      </c>
      <c r="F170" s="69">
        <v>2</v>
      </c>
      <c r="G170" s="69">
        <v>3</v>
      </c>
      <c r="H170" s="69">
        <v>4</v>
      </c>
      <c r="I170" s="69">
        <v>5</v>
      </c>
      <c r="J170" s="69">
        <v>6</v>
      </c>
      <c r="K170" s="69">
        <v>7</v>
      </c>
      <c r="L170" s="69">
        <v>8</v>
      </c>
      <c r="M170" s="69">
        <v>9</v>
      </c>
      <c r="N170" s="69">
        <v>10</v>
      </c>
      <c r="O170" s="3"/>
      <c r="P170" s="3" t="str">
        <f>[4]!FormDisp(J170)</f>
        <v>6</v>
      </c>
      <c r="Q170" s="3"/>
      <c r="R170" s="3"/>
      <c r="S170" s="3"/>
      <c r="T170" s="3"/>
      <c r="U170" s="3"/>
      <c r="V170" s="3"/>
    </row>
    <row r="171" spans="1:22" ht="15">
      <c r="A171" s="1">
        <f t="shared" si="51"/>
        <v>171</v>
      </c>
      <c r="B171" s="6" t="s">
        <v>54</v>
      </c>
      <c r="C171" s="4"/>
      <c r="D171" s="7"/>
      <c r="E171" s="7">
        <f t="shared" ref="E171:N171" si="78">+D176</f>
        <v>0</v>
      </c>
      <c r="F171" s="7">
        <f t="shared" si="78"/>
        <v>6.9360000000000053</v>
      </c>
      <c r="G171" s="7">
        <f t="shared" si="78"/>
        <v>6.2424000000000044</v>
      </c>
      <c r="H171" s="7">
        <f t="shared" si="78"/>
        <v>5.5488000000000035</v>
      </c>
      <c r="I171" s="7">
        <f t="shared" si="78"/>
        <v>49.529534537414072</v>
      </c>
      <c r="J171" s="7">
        <f>+I176</f>
        <v>44.368501083672662</v>
      </c>
      <c r="K171" s="7">
        <f t="shared" si="78"/>
        <v>39.207467629931251</v>
      </c>
      <c r="L171" s="7">
        <f t="shared" si="78"/>
        <v>34.046434176189841</v>
      </c>
      <c r="M171" s="7">
        <f t="shared" si="78"/>
        <v>129.19425023679955</v>
      </c>
      <c r="N171" s="7">
        <f t="shared" si="78"/>
        <v>114.00233183162302</v>
      </c>
      <c r="O171" s="3"/>
      <c r="P171" s="3" t="str">
        <f>[4]!FormDisp(J171)</f>
        <v>=+I176</v>
      </c>
      <c r="Q171" s="3"/>
      <c r="R171" s="3"/>
      <c r="S171" s="3"/>
      <c r="T171" s="3"/>
      <c r="U171" s="3"/>
      <c r="V171" s="3"/>
    </row>
    <row r="172" spans="1:22" ht="15">
      <c r="A172" s="1">
        <f t="shared" si="51"/>
        <v>172</v>
      </c>
      <c r="B172" s="33" t="s">
        <v>62</v>
      </c>
      <c r="C172" s="4"/>
      <c r="D172" s="7"/>
      <c r="E172" s="7">
        <f t="shared" ref="E172:N172" si="79">+E177*D176</f>
        <v>0</v>
      </c>
      <c r="F172" s="7">
        <f t="shared" si="79"/>
        <v>0.94225559999999997</v>
      </c>
      <c r="G172" s="7">
        <f t="shared" si="79"/>
        <v>0.9376084800000003</v>
      </c>
      <c r="H172" s="7">
        <f t="shared" si="79"/>
        <v>0.62424000000000035</v>
      </c>
      <c r="I172" s="7">
        <f t="shared" si="79"/>
        <v>5.6909435183488695</v>
      </c>
      <c r="J172" s="7">
        <f>+J177*I176</f>
        <v>5.1360976854459519</v>
      </c>
      <c r="K172" s="7">
        <f t="shared" si="79"/>
        <v>4.1755953025876718</v>
      </c>
      <c r="L172" s="7">
        <f t="shared" si="79"/>
        <v>3.452308425465648</v>
      </c>
      <c r="M172" s="7">
        <f t="shared" si="79"/>
        <v>13.100296974011467</v>
      </c>
      <c r="N172" s="7">
        <f t="shared" si="79"/>
        <v>11.559836447726569</v>
      </c>
      <c r="O172" s="3"/>
      <c r="P172" s="3" t="str">
        <f>[4]!FormDisp(J172)</f>
        <v>=+J177*I176</v>
      </c>
      <c r="Q172" s="3"/>
      <c r="R172" s="3"/>
      <c r="S172" s="3"/>
      <c r="T172" s="3"/>
      <c r="U172" s="3"/>
      <c r="V172" s="3"/>
    </row>
    <row r="173" spans="1:22" ht="15">
      <c r="A173" s="1">
        <f t="shared" si="51"/>
        <v>173</v>
      </c>
      <c r="B173" s="33" t="s">
        <v>69</v>
      </c>
      <c r="C173" s="4"/>
      <c r="D173" s="7"/>
      <c r="E173" s="7">
        <f t="shared" ref="E173:N173" si="80">+D173+D130/$D$14</f>
        <v>0</v>
      </c>
      <c r="F173" s="7">
        <f t="shared" si="80"/>
        <v>0.69360000000000055</v>
      </c>
      <c r="G173" s="7">
        <f t="shared" si="80"/>
        <v>0.69360000000000055</v>
      </c>
      <c r="H173" s="7">
        <f t="shared" si="80"/>
        <v>0.69360000000000055</v>
      </c>
      <c r="I173" s="7">
        <f t="shared" si="80"/>
        <v>5.1610334537414078</v>
      </c>
      <c r="J173" s="7">
        <f>+I173+I130/$D$14</f>
        <v>5.1610334537414078</v>
      </c>
      <c r="K173" s="7">
        <f t="shared" si="80"/>
        <v>5.1610334537414078</v>
      </c>
      <c r="L173" s="7">
        <f t="shared" si="80"/>
        <v>5.1610334537414078</v>
      </c>
      <c r="M173" s="7">
        <f t="shared" si="80"/>
        <v>15.191918405176519</v>
      </c>
      <c r="N173" s="7">
        <f t="shared" si="80"/>
        <v>15.191918405176519</v>
      </c>
      <c r="O173" s="3"/>
      <c r="P173" s="3" t="str">
        <f>[4]!FormDisp(J173)</f>
        <v>=+I173+I130/$D$14</v>
      </c>
      <c r="Q173" s="3"/>
      <c r="R173" s="3"/>
      <c r="S173" s="3"/>
      <c r="T173" s="3"/>
      <c r="U173" s="3"/>
      <c r="V173" s="3"/>
    </row>
    <row r="174" spans="1:22" ht="15">
      <c r="A174" s="1">
        <f t="shared" si="51"/>
        <v>174</v>
      </c>
      <c r="B174" s="33" t="s">
        <v>63</v>
      </c>
      <c r="C174" s="4"/>
      <c r="D174" s="7"/>
      <c r="E174" s="7">
        <f t="shared" ref="E174:N174" si="81">E172+E173</f>
        <v>0</v>
      </c>
      <c r="F174" s="7">
        <f t="shared" si="81"/>
        <v>1.6358556000000006</v>
      </c>
      <c r="G174" s="7">
        <f t="shared" si="81"/>
        <v>1.6312084800000008</v>
      </c>
      <c r="H174" s="7">
        <f t="shared" si="81"/>
        <v>1.3178400000000008</v>
      </c>
      <c r="I174" s="7">
        <f t="shared" si="81"/>
        <v>10.851976972090277</v>
      </c>
      <c r="J174" s="7">
        <f t="shared" si="81"/>
        <v>10.297131139187361</v>
      </c>
      <c r="K174" s="7">
        <f t="shared" si="81"/>
        <v>9.3366287563290804</v>
      </c>
      <c r="L174" s="7">
        <f t="shared" si="81"/>
        <v>8.6133418792070557</v>
      </c>
      <c r="M174" s="7">
        <f t="shared" si="81"/>
        <v>28.292215379187986</v>
      </c>
      <c r="N174" s="7">
        <f t="shared" si="81"/>
        <v>26.75175485290309</v>
      </c>
      <c r="O174" s="3"/>
      <c r="P174" s="3" t="str">
        <f>[4]!FormDisp(J174)</f>
        <v>=J172+J173</v>
      </c>
      <c r="Q174" s="3"/>
      <c r="R174" s="3"/>
      <c r="S174" s="3"/>
      <c r="T174" s="3"/>
      <c r="U174" s="3"/>
      <c r="V174" s="3"/>
    </row>
    <row r="175" spans="1:22" ht="15">
      <c r="A175" s="1">
        <f t="shared" si="51"/>
        <v>175</v>
      </c>
      <c r="B175" s="63" t="s">
        <v>374</v>
      </c>
      <c r="C175" s="4"/>
      <c r="D175" s="7"/>
      <c r="E175" s="7"/>
      <c r="F175" s="7"/>
      <c r="G175" s="7"/>
      <c r="H175" s="7"/>
      <c r="I175" s="7"/>
      <c r="J175" s="7"/>
      <c r="K175" s="7"/>
      <c r="L175" s="7">
        <f>+L130</f>
        <v>100.30884951435112</v>
      </c>
      <c r="M175" s="7"/>
      <c r="N175" s="7"/>
      <c r="O175" s="3"/>
      <c r="P175" s="3"/>
      <c r="Q175" s="3"/>
      <c r="R175" s="3"/>
      <c r="S175" s="3"/>
      <c r="T175" s="3"/>
      <c r="U175" s="3"/>
      <c r="V175" s="3"/>
    </row>
    <row r="176" spans="1:22" ht="15">
      <c r="A176" s="1">
        <f t="shared" si="51"/>
        <v>176</v>
      </c>
      <c r="B176" s="6" t="s">
        <v>57</v>
      </c>
      <c r="C176" s="4"/>
      <c r="D176" s="7">
        <f>+D130</f>
        <v>0</v>
      </c>
      <c r="E176" s="7">
        <f t="shared" ref="E176:N176" si="82">+E171-E173+E130</f>
        <v>6.9360000000000053</v>
      </c>
      <c r="F176" s="7">
        <f t="shared" si="82"/>
        <v>6.2424000000000044</v>
      </c>
      <c r="G176" s="7">
        <f t="shared" si="82"/>
        <v>5.5488000000000035</v>
      </c>
      <c r="H176" s="7">
        <f t="shared" si="82"/>
        <v>49.529534537414072</v>
      </c>
      <c r="I176" s="7">
        <f t="shared" si="82"/>
        <v>44.368501083672662</v>
      </c>
      <c r="J176" s="7">
        <f t="shared" si="82"/>
        <v>39.207467629931251</v>
      </c>
      <c r="K176" s="7">
        <f t="shared" si="82"/>
        <v>34.046434176189841</v>
      </c>
      <c r="L176" s="7">
        <f>+L171-L173+L175</f>
        <v>129.19425023679955</v>
      </c>
      <c r="M176" s="7">
        <f t="shared" si="82"/>
        <v>114.00233183162302</v>
      </c>
      <c r="N176" s="7">
        <f t="shared" si="82"/>
        <v>98.810413426446502</v>
      </c>
      <c r="O176" s="3"/>
      <c r="P176" s="3" t="e">
        <f ca="1">[4]!FormDisp(J176)</f>
        <v>#NAME?</v>
      </c>
      <c r="Q176" s="3"/>
      <c r="R176" s="3"/>
      <c r="S176" s="3"/>
      <c r="T176" s="3"/>
      <c r="U176" s="3"/>
      <c r="V176" s="3"/>
    </row>
    <row r="177" spans="1:22" ht="15">
      <c r="A177" s="1">
        <f t="shared" si="51"/>
        <v>177</v>
      </c>
      <c r="B177" s="6" t="s">
        <v>58</v>
      </c>
      <c r="C177" s="4"/>
      <c r="D177" s="7"/>
      <c r="E177" s="19">
        <f t="shared" ref="E177:N177" si="83">E161</f>
        <v>0.13120000000000015</v>
      </c>
      <c r="F177" s="19">
        <f t="shared" si="83"/>
        <v>0.13584999999999989</v>
      </c>
      <c r="G177" s="19">
        <f t="shared" si="83"/>
        <v>0.15019999999999994</v>
      </c>
      <c r="H177" s="19">
        <f t="shared" si="83"/>
        <v>0.11249999999999999</v>
      </c>
      <c r="I177" s="19">
        <f t="shared" si="83"/>
        <v>0.11489999999999985</v>
      </c>
      <c r="J177" s="19">
        <f t="shared" si="83"/>
        <v>0.1157600000000001</v>
      </c>
      <c r="K177" s="19">
        <f t="shared" si="83"/>
        <v>0.10649999999999983</v>
      </c>
      <c r="L177" s="19">
        <f t="shared" si="83"/>
        <v>0.10139999999999995</v>
      </c>
      <c r="M177" s="19">
        <f t="shared" si="83"/>
        <v>0.10139999999999995</v>
      </c>
      <c r="N177" s="19">
        <f t="shared" si="83"/>
        <v>0.10139999999999995</v>
      </c>
      <c r="O177" s="3"/>
      <c r="P177" s="3" t="str">
        <f>[4]!FormDisp(J177)</f>
        <v>=J161</v>
      </c>
      <c r="Q177" s="3"/>
      <c r="R177" s="3"/>
      <c r="S177" s="3"/>
      <c r="T177" s="3"/>
      <c r="U177" s="3"/>
      <c r="V177" s="3"/>
    </row>
    <row r="178" spans="1:22" ht="15">
      <c r="A178" s="1">
        <f t="shared" si="51"/>
        <v>178</v>
      </c>
      <c r="B178" s="6"/>
      <c r="C178" s="4"/>
      <c r="D178" s="7"/>
      <c r="E178" s="19"/>
      <c r="F178" s="19"/>
      <c r="G178" s="19"/>
      <c r="H178" s="19"/>
      <c r="I178" s="19"/>
      <c r="J178" s="25"/>
      <c r="K178" s="25"/>
      <c r="L178" s="3"/>
      <c r="M178" s="3"/>
      <c r="N178" s="18"/>
      <c r="O178" s="3"/>
      <c r="P178" s="3" t="str">
        <f>[4]!FormDisp(J178)</f>
        <v/>
      </c>
      <c r="Q178" s="3"/>
      <c r="R178" s="3"/>
      <c r="S178" s="3"/>
      <c r="T178" s="3"/>
      <c r="U178" s="3"/>
      <c r="V178" s="3"/>
    </row>
    <row r="179" spans="1:22" ht="15">
      <c r="A179" s="1">
        <f t="shared" si="51"/>
        <v>179</v>
      </c>
      <c r="B179" s="108" t="s">
        <v>216</v>
      </c>
      <c r="C179" s="69" t="s">
        <v>70</v>
      </c>
      <c r="D179" s="69">
        <v>0</v>
      </c>
      <c r="E179" s="69">
        <v>1</v>
      </c>
      <c r="F179" s="69">
        <v>2</v>
      </c>
      <c r="G179" s="69">
        <v>3</v>
      </c>
      <c r="H179" s="69">
        <v>4</v>
      </c>
      <c r="I179" s="69">
        <v>5</v>
      </c>
      <c r="O179" s="3"/>
      <c r="P179" s="3" t="str">
        <f>[4]!FormDisp(J179)</f>
        <v/>
      </c>
      <c r="Q179" s="3"/>
      <c r="R179" s="3"/>
      <c r="S179" s="3"/>
      <c r="T179" s="3"/>
      <c r="U179" s="3"/>
      <c r="V179" s="3"/>
    </row>
    <row r="180" spans="1:22" ht="15">
      <c r="A180" s="1">
        <f t="shared" si="51"/>
        <v>180</v>
      </c>
      <c r="B180" s="43" t="s">
        <v>64</v>
      </c>
      <c r="C180" s="4"/>
      <c r="D180" s="1"/>
      <c r="E180" s="7">
        <f t="shared" ref="E180:N180" si="84">+E53</f>
        <v>381.44736000000006</v>
      </c>
      <c r="F180" s="7">
        <f t="shared" si="84"/>
        <v>410.10849070410239</v>
      </c>
      <c r="G180" s="7">
        <f t="shared" si="84"/>
        <v>444.41995100834208</v>
      </c>
      <c r="H180" s="7">
        <f t="shared" si="84"/>
        <v>479.32424954058615</v>
      </c>
      <c r="I180" s="7">
        <f t="shared" si="84"/>
        <v>515.50391231748915</v>
      </c>
      <c r="J180" s="7">
        <f t="shared" si="84"/>
        <v>549.87903545835445</v>
      </c>
      <c r="K180" s="7">
        <f t="shared" si="84"/>
        <v>583.72644546329707</v>
      </c>
      <c r="L180" s="7">
        <f t="shared" si="84"/>
        <v>616.66379496949628</v>
      </c>
      <c r="M180" s="7">
        <f t="shared" si="84"/>
        <v>651.4596674206897</v>
      </c>
      <c r="N180" s="7">
        <f t="shared" si="84"/>
        <v>688.2189318360563</v>
      </c>
      <c r="O180" s="3"/>
      <c r="P180" s="3" t="str">
        <f>[4]!FormDisp(J180)</f>
        <v>=+J53</v>
      </c>
      <c r="Q180" s="3"/>
      <c r="R180" s="3"/>
      <c r="S180" s="3"/>
      <c r="T180" s="3"/>
      <c r="U180" s="3"/>
      <c r="V180" s="3"/>
    </row>
    <row r="181" spans="1:22" ht="15">
      <c r="A181" s="1">
        <f t="shared" si="51"/>
        <v>181</v>
      </c>
      <c r="B181" s="43" t="s">
        <v>37</v>
      </c>
      <c r="C181" s="4"/>
      <c r="D181" s="1"/>
      <c r="E181" s="7">
        <f t="shared" ref="E181:N181" si="85">+E85</f>
        <v>270.34549999999996</v>
      </c>
      <c r="F181" s="7">
        <f t="shared" si="85"/>
        <v>289.23001604570999</v>
      </c>
      <c r="G181" s="7">
        <f t="shared" si="85"/>
        <v>312.54691746191662</v>
      </c>
      <c r="H181" s="7">
        <f t="shared" si="85"/>
        <v>334.7545220525858</v>
      </c>
      <c r="I181" s="7">
        <f t="shared" si="85"/>
        <v>358.85996088872469</v>
      </c>
      <c r="J181" s="7">
        <f t="shared" si="85"/>
        <v>381.09886607926092</v>
      </c>
      <c r="K181" s="7">
        <f t="shared" si="85"/>
        <v>403.18930775985541</v>
      </c>
      <c r="L181" s="7">
        <f t="shared" si="85"/>
        <v>424.05332516677402</v>
      </c>
      <c r="M181" s="7">
        <f t="shared" si="85"/>
        <v>445.87463911073189</v>
      </c>
      <c r="N181" s="7">
        <f t="shared" si="85"/>
        <v>468.81885367586409</v>
      </c>
      <c r="O181" s="3"/>
      <c r="P181" s="3" t="e">
        <f ca="1">[4]!FormDisp(J181)</f>
        <v>#NAME?</v>
      </c>
      <c r="Q181" s="3"/>
      <c r="R181" s="3"/>
      <c r="S181" s="3"/>
      <c r="T181" s="3"/>
      <c r="U181" s="3"/>
      <c r="V181" s="3"/>
    </row>
    <row r="182" spans="1:22" ht="14.25">
      <c r="A182" s="1">
        <f t="shared" si="51"/>
        <v>182</v>
      </c>
      <c r="B182" s="44" t="s">
        <v>65</v>
      </c>
      <c r="C182" s="4"/>
      <c r="D182" s="1"/>
      <c r="E182" s="7">
        <f t="shared" ref="E182:N182" si="86">E180-E181</f>
        <v>111.1018600000001</v>
      </c>
      <c r="F182" s="7">
        <f t="shared" si="86"/>
        <v>120.87847465839241</v>
      </c>
      <c r="G182" s="7">
        <f t="shared" si="86"/>
        <v>131.87303354642546</v>
      </c>
      <c r="H182" s="7">
        <f t="shared" si="86"/>
        <v>144.56972748800035</v>
      </c>
      <c r="I182" s="7">
        <f t="shared" si="86"/>
        <v>156.64395142876447</v>
      </c>
      <c r="J182" s="7">
        <f t="shared" si="86"/>
        <v>168.78016937909354</v>
      </c>
      <c r="K182" s="7">
        <f t="shared" si="86"/>
        <v>180.53713770344166</v>
      </c>
      <c r="L182" s="7">
        <f t="shared" si="86"/>
        <v>192.61046980272226</v>
      </c>
      <c r="M182" s="7">
        <f t="shared" si="86"/>
        <v>205.58502830995781</v>
      </c>
      <c r="N182" s="7">
        <f t="shared" si="86"/>
        <v>219.40007816019221</v>
      </c>
      <c r="O182" s="3"/>
      <c r="P182" s="3" t="e">
        <f ca="1">[4]!FormDisp(J182)</f>
        <v>#NAME?</v>
      </c>
      <c r="Q182" s="3"/>
      <c r="R182" s="3"/>
      <c r="S182" s="3"/>
      <c r="T182" s="3"/>
      <c r="U182" s="3"/>
      <c r="V182" s="3"/>
    </row>
    <row r="183" spans="1:22" ht="14.25">
      <c r="A183" s="1">
        <f t="shared" si="51"/>
        <v>183</v>
      </c>
      <c r="B183" s="44" t="s">
        <v>310</v>
      </c>
      <c r="C183" s="4"/>
      <c r="D183" s="1"/>
      <c r="E183" s="7">
        <f t="shared" ref="E183:N183" si="87">+E86</f>
        <v>23.436599999999999</v>
      </c>
      <c r="F183" s="7">
        <f t="shared" si="87"/>
        <v>24.972869129999999</v>
      </c>
      <c r="G183" s="7">
        <f t="shared" si="87"/>
        <v>26.4517624398786</v>
      </c>
      <c r="H183" s="7">
        <f t="shared" si="87"/>
        <v>27.99654536636751</v>
      </c>
      <c r="I183" s="7">
        <f t="shared" si="87"/>
        <v>29.607466586748295</v>
      </c>
      <c r="J183" s="7">
        <f t="shared" si="87"/>
        <v>31.053495254845082</v>
      </c>
      <c r="K183" s="7">
        <f t="shared" si="87"/>
        <v>32.413560713269156</v>
      </c>
      <c r="L183" s="7">
        <f t="shared" si="87"/>
        <v>33.669748258711898</v>
      </c>
      <c r="M183" s="7">
        <f t="shared" si="87"/>
        <v>34.974619352478271</v>
      </c>
      <c r="N183" s="7">
        <f t="shared" si="87"/>
        <v>36.330060725483563</v>
      </c>
      <c r="O183" s="3"/>
      <c r="P183" s="3" t="str">
        <f>[4]!FormDisp(J183)</f>
        <v>=+J86</v>
      </c>
      <c r="Q183" s="3"/>
      <c r="R183" s="3"/>
      <c r="S183" s="3"/>
      <c r="T183" s="3"/>
      <c r="U183" s="3"/>
      <c r="V183" s="3"/>
    </row>
    <row r="184" spans="1:22" ht="15">
      <c r="A184" s="1">
        <f t="shared" si="51"/>
        <v>184</v>
      </c>
      <c r="B184" s="6" t="s">
        <v>38</v>
      </c>
      <c r="C184" s="4"/>
      <c r="D184" s="1"/>
      <c r="E184" s="7">
        <f t="shared" ref="E184:N184" si="88">+E92</f>
        <v>52.5229152</v>
      </c>
      <c r="F184" s="7">
        <f t="shared" si="88"/>
        <v>56.494218109287161</v>
      </c>
      <c r="G184" s="7">
        <f t="shared" si="88"/>
        <v>60.717433518051948</v>
      </c>
      <c r="H184" s="7">
        <f t="shared" si="88"/>
        <v>64.983109089425682</v>
      </c>
      <c r="I184" s="7">
        <f t="shared" si="88"/>
        <v>69.192812247936644</v>
      </c>
      <c r="J184" s="7">
        <f t="shared" si="88"/>
        <v>73.336428320287823</v>
      </c>
      <c r="K184" s="7">
        <f t="shared" si="88"/>
        <v>77.354491913615973</v>
      </c>
      <c r="L184" s="7">
        <f t="shared" si="88"/>
        <v>81.198535409591571</v>
      </c>
      <c r="M184" s="7">
        <f t="shared" si="88"/>
        <v>85.23360427504997</v>
      </c>
      <c r="N184" s="7">
        <f t="shared" si="88"/>
        <v>89.469191298463571</v>
      </c>
      <c r="O184" s="3"/>
      <c r="P184" s="3" t="str">
        <f>[4]!FormDisp(J184)</f>
        <v>=+J92</v>
      </c>
      <c r="Q184" s="3"/>
      <c r="R184" s="3"/>
      <c r="S184" s="3"/>
      <c r="T184" s="3"/>
      <c r="U184" s="3"/>
      <c r="V184" s="3"/>
    </row>
    <row r="185" spans="1:22" ht="15">
      <c r="A185" s="1">
        <f t="shared" si="51"/>
        <v>185</v>
      </c>
      <c r="B185" s="50" t="s">
        <v>68</v>
      </c>
      <c r="C185" s="4"/>
      <c r="D185" s="1"/>
      <c r="E185" s="7">
        <f t="shared" ref="E185:N185" si="89">E65</f>
        <v>11.25</v>
      </c>
      <c r="F185" s="7">
        <f t="shared" si="89"/>
        <v>11.25</v>
      </c>
      <c r="G185" s="7">
        <f t="shared" si="89"/>
        <v>11.25</v>
      </c>
      <c r="H185" s="7">
        <f t="shared" si="89"/>
        <v>11.25</v>
      </c>
      <c r="I185" s="7">
        <f t="shared" si="89"/>
        <v>14.07631739747003</v>
      </c>
      <c r="J185" s="7">
        <f t="shared" si="89"/>
        <v>14.07631739747003</v>
      </c>
      <c r="K185" s="7">
        <f t="shared" si="89"/>
        <v>14.07631739747003</v>
      </c>
      <c r="L185" s="7">
        <f t="shared" si="89"/>
        <v>14.07631739747003</v>
      </c>
      <c r="M185" s="7">
        <f t="shared" si="89"/>
        <v>50</v>
      </c>
      <c r="N185" s="7">
        <f t="shared" si="89"/>
        <v>50</v>
      </c>
      <c r="O185" s="3"/>
      <c r="P185" s="3" t="str">
        <f>[4]!FormDisp(J185)</f>
        <v>=J65</v>
      </c>
      <c r="Q185" s="3"/>
      <c r="R185" s="3"/>
      <c r="S185" s="3"/>
      <c r="T185" s="3"/>
      <c r="U185" s="3"/>
      <c r="V185" s="3"/>
    </row>
    <row r="186" spans="1:22" ht="12.75" customHeight="1">
      <c r="A186" s="1">
        <f t="shared" si="51"/>
        <v>186</v>
      </c>
      <c r="B186" s="44" t="s">
        <v>66</v>
      </c>
      <c r="C186" s="4"/>
      <c r="D186" s="1"/>
      <c r="E186" s="7">
        <f t="shared" ref="E186:N186" si="90">E182-E184-E185-E183</f>
        <v>23.892344800000103</v>
      </c>
      <c r="F186" s="7">
        <f t="shared" si="90"/>
        <v>28.161387419105246</v>
      </c>
      <c r="G186" s="7">
        <f t="shared" si="90"/>
        <v>33.453837588494913</v>
      </c>
      <c r="H186" s="7">
        <f t="shared" si="90"/>
        <v>40.340073032207158</v>
      </c>
      <c r="I186" s="7">
        <f t="shared" si="90"/>
        <v>43.767355196609493</v>
      </c>
      <c r="J186" s="7">
        <f t="shared" si="90"/>
        <v>50.313928406490597</v>
      </c>
      <c r="K186" s="7">
        <f t="shared" si="90"/>
        <v>56.692767679086494</v>
      </c>
      <c r="L186" s="7">
        <f t="shared" si="90"/>
        <v>63.665868736948759</v>
      </c>
      <c r="M186" s="7">
        <f t="shared" si="90"/>
        <v>35.376804682429565</v>
      </c>
      <c r="N186" s="7">
        <f t="shared" si="90"/>
        <v>43.60082613624509</v>
      </c>
      <c r="O186" s="7"/>
      <c r="P186" s="3" t="e">
        <f ca="1">[4]!FormDisp(J186)</f>
        <v>#NAME?</v>
      </c>
      <c r="Q186" s="9"/>
      <c r="R186" s="9"/>
      <c r="S186" s="9"/>
      <c r="T186" s="9"/>
      <c r="U186" s="3"/>
      <c r="V186" s="3"/>
    </row>
    <row r="187" spans="1:22" ht="30">
      <c r="A187" s="1">
        <f t="shared" si="51"/>
        <v>187</v>
      </c>
      <c r="B187" s="50" t="s">
        <v>213</v>
      </c>
      <c r="C187" s="4"/>
      <c r="D187" s="1"/>
      <c r="E187" s="7">
        <f t="shared" ref="E187:N187" si="91">+E157+E172+E165</f>
        <v>8.2656000000000098</v>
      </c>
      <c r="F187" s="7">
        <f t="shared" si="91"/>
        <v>5.0018299017829904</v>
      </c>
      <c r="G187" s="7">
        <f t="shared" si="91"/>
        <v>3.6412084799999991</v>
      </c>
      <c r="H187" s="7">
        <f t="shared" si="91"/>
        <v>1.9742400000000002</v>
      </c>
      <c r="I187" s="7">
        <f t="shared" si="91"/>
        <v>6.3803435183488686</v>
      </c>
      <c r="J187" s="7">
        <f t="shared" si="91"/>
        <v>5.1360976854459519</v>
      </c>
      <c r="K187" s="7">
        <f t="shared" si="91"/>
        <v>4.1755953025876718</v>
      </c>
      <c r="L187" s="7">
        <f t="shared" si="91"/>
        <v>3.452308425465648</v>
      </c>
      <c r="M187" s="7">
        <f t="shared" si="91"/>
        <v>13.100296974011467</v>
      </c>
      <c r="N187" s="7">
        <f t="shared" si="91"/>
        <v>11.559836447726569</v>
      </c>
      <c r="O187" s="7"/>
      <c r="P187" s="3" t="str">
        <f>[4]!FormDisp(J187)</f>
        <v>=+J157+J172+J165</v>
      </c>
      <c r="Q187" s="30"/>
      <c r="R187" s="30"/>
      <c r="S187" s="30"/>
      <c r="T187" s="30"/>
      <c r="U187" s="3"/>
      <c r="V187" s="3"/>
    </row>
    <row r="188" spans="1:22" ht="30">
      <c r="A188" s="1">
        <f t="shared" si="51"/>
        <v>188</v>
      </c>
      <c r="B188" s="50" t="s">
        <v>214</v>
      </c>
      <c r="C188" s="4"/>
      <c r="D188" s="1"/>
      <c r="E188" s="7">
        <f t="shared" ref="E188:N188" si="92">+E58*D148</f>
        <v>0</v>
      </c>
      <c r="F188" s="7">
        <f t="shared" si="92"/>
        <v>0</v>
      </c>
      <c r="G188" s="7">
        <f t="shared" si="92"/>
        <v>0.70795275002863511</v>
      </c>
      <c r="H188" s="7">
        <f t="shared" si="92"/>
        <v>1.615970244565146</v>
      </c>
      <c r="I188" s="7">
        <f t="shared" si="92"/>
        <v>3.3362645979195727E-16</v>
      </c>
      <c r="J188" s="7">
        <f t="shared" si="92"/>
        <v>1.8990933757910811</v>
      </c>
      <c r="K188" s="7">
        <f t="shared" si="92"/>
        <v>2.8499387369834506</v>
      </c>
      <c r="L188" s="7">
        <f t="shared" si="92"/>
        <v>3.5918664812270795</v>
      </c>
      <c r="M188" s="7">
        <f t="shared" si="92"/>
        <v>0</v>
      </c>
      <c r="N188" s="7">
        <f t="shared" si="92"/>
        <v>0.81942006235357834</v>
      </c>
      <c r="O188" s="7"/>
      <c r="P188" s="3" t="str">
        <f>[4]!FormDisp(J188)</f>
        <v>=+J58*I148</v>
      </c>
      <c r="Q188" s="49"/>
      <c r="R188" s="49"/>
      <c r="S188" s="49"/>
      <c r="T188" s="49"/>
      <c r="U188" s="3"/>
      <c r="V188" s="3"/>
    </row>
    <row r="189" spans="1:22" ht="30">
      <c r="A189" s="1">
        <f t="shared" si="51"/>
        <v>189</v>
      </c>
      <c r="B189" s="50" t="s">
        <v>215</v>
      </c>
      <c r="C189" s="4"/>
      <c r="D189" s="37"/>
      <c r="E189" s="7">
        <f t="shared" ref="E189:N189" si="93">E186+E188-E187</f>
        <v>15.626744800000093</v>
      </c>
      <c r="F189" s="7">
        <f t="shared" si="93"/>
        <v>23.159557517322256</v>
      </c>
      <c r="G189" s="7">
        <f t="shared" si="93"/>
        <v>30.520581858523546</v>
      </c>
      <c r="H189" s="7">
        <f t="shared" si="93"/>
        <v>39.981803276772304</v>
      </c>
      <c r="I189" s="7">
        <f t="shared" si="93"/>
        <v>37.387011678260627</v>
      </c>
      <c r="J189" s="7">
        <f t="shared" si="93"/>
        <v>47.076924096835725</v>
      </c>
      <c r="K189" s="7">
        <f t="shared" si="93"/>
        <v>55.367111113482274</v>
      </c>
      <c r="L189" s="7">
        <f t="shared" si="93"/>
        <v>63.805426792710193</v>
      </c>
      <c r="M189" s="7">
        <f t="shared" si="93"/>
        <v>22.276507708418098</v>
      </c>
      <c r="N189" s="7">
        <f t="shared" si="93"/>
        <v>32.860409750872101</v>
      </c>
      <c r="O189" s="7"/>
      <c r="P189" s="3" t="e">
        <f ca="1">[4]!FormDisp(J189)</f>
        <v>#NAME?</v>
      </c>
      <c r="Q189" s="30"/>
      <c r="R189" s="30"/>
      <c r="S189" s="30"/>
      <c r="T189" s="30"/>
      <c r="U189" s="3"/>
      <c r="V189" s="3"/>
    </row>
    <row r="190" spans="1:22" ht="15">
      <c r="A190" s="1">
        <f t="shared" si="51"/>
        <v>190</v>
      </c>
      <c r="B190" s="50" t="s">
        <v>217</v>
      </c>
      <c r="C190" s="4"/>
      <c r="E190" s="71">
        <f t="shared" ref="E190:N190" si="94">IF(E189&lt;=0,0,E189*$D$8)</f>
        <v>5.4693606800000323</v>
      </c>
      <c r="F190" s="71">
        <f t="shared" si="94"/>
        <v>8.1058451310627895</v>
      </c>
      <c r="G190" s="71">
        <f t="shared" si="94"/>
        <v>10.68220365048324</v>
      </c>
      <c r="H190" s="71">
        <f t="shared" si="94"/>
        <v>13.993631146870305</v>
      </c>
      <c r="I190" s="71">
        <f t="shared" si="94"/>
        <v>13.085454087391218</v>
      </c>
      <c r="J190" s="71">
        <f t="shared" si="94"/>
        <v>16.476923433892502</v>
      </c>
      <c r="K190" s="71">
        <f t="shared" si="94"/>
        <v>19.378488889718795</v>
      </c>
      <c r="L190" s="71">
        <f t="shared" si="94"/>
        <v>22.331899377448565</v>
      </c>
      <c r="M190" s="71">
        <f t="shared" si="94"/>
        <v>7.7967776979463341</v>
      </c>
      <c r="N190" s="71">
        <f t="shared" si="94"/>
        <v>11.501143412805234</v>
      </c>
      <c r="O190" s="7"/>
      <c r="P190" s="3" t="e">
        <f ca="1">[4]!FormDisp(J190)</f>
        <v>#NAME?</v>
      </c>
      <c r="Q190" s="30"/>
      <c r="R190" s="30"/>
      <c r="S190" s="30"/>
      <c r="T190" s="30"/>
      <c r="U190" s="3"/>
      <c r="V190" s="3"/>
    </row>
    <row r="191" spans="1:22" ht="14.25">
      <c r="A191" s="1">
        <f t="shared" si="51"/>
        <v>191</v>
      </c>
      <c r="B191" s="64" t="s">
        <v>218</v>
      </c>
      <c r="C191" s="4"/>
      <c r="D191" s="7"/>
      <c r="E191" s="7">
        <f t="shared" ref="E191:N191" si="95">E189-E190</f>
        <v>10.15738412000006</v>
      </c>
      <c r="F191" s="7">
        <f t="shared" si="95"/>
        <v>15.053712386259466</v>
      </c>
      <c r="G191" s="7">
        <f t="shared" si="95"/>
        <v>19.838378208040304</v>
      </c>
      <c r="H191" s="7">
        <f t="shared" si="95"/>
        <v>25.988172129901997</v>
      </c>
      <c r="I191" s="7">
        <f t="shared" si="95"/>
        <v>24.301557590869407</v>
      </c>
      <c r="J191" s="7">
        <f t="shared" si="95"/>
        <v>30.600000662943224</v>
      </c>
      <c r="K191" s="7">
        <f t="shared" si="95"/>
        <v>35.988622223763478</v>
      </c>
      <c r="L191" s="7">
        <f t="shared" si="95"/>
        <v>41.473527415261628</v>
      </c>
      <c r="M191" s="7">
        <f t="shared" si="95"/>
        <v>14.479730010471764</v>
      </c>
      <c r="N191" s="7">
        <f t="shared" si="95"/>
        <v>21.359266338066867</v>
      </c>
      <c r="O191" s="7"/>
      <c r="P191" s="3" t="e">
        <f ca="1">[4]!FormDisp(J191)</f>
        <v>#NAME?</v>
      </c>
      <c r="Q191" s="9"/>
      <c r="R191" s="9"/>
      <c r="S191" s="9"/>
      <c r="T191" s="9"/>
      <c r="U191" s="3"/>
      <c r="V191" s="3"/>
    </row>
    <row r="192" spans="1:22" ht="15">
      <c r="A192" s="1">
        <f t="shared" si="51"/>
        <v>192</v>
      </c>
      <c r="B192" s="50" t="s">
        <v>219</v>
      </c>
      <c r="C192" s="52"/>
      <c r="D192" s="1"/>
      <c r="E192" s="7">
        <f t="shared" ref="E192:N192" si="96">E191*E32</f>
        <v>7.3133165664000428</v>
      </c>
      <c r="F192" s="7">
        <f t="shared" si="96"/>
        <v>10.989210041969409</v>
      </c>
      <c r="G192" s="7">
        <f t="shared" si="96"/>
        <v>15.275551220191034</v>
      </c>
      <c r="H192" s="7">
        <f t="shared" si="96"/>
        <v>16.8923118844363</v>
      </c>
      <c r="I192" s="7">
        <f t="shared" si="96"/>
        <v>15.796012434065116</v>
      </c>
      <c r="J192" s="7">
        <f t="shared" si="96"/>
        <v>21.955500475661765</v>
      </c>
      <c r="K192" s="7">
        <f t="shared" si="96"/>
        <v>25.821836445550296</v>
      </c>
      <c r="L192" s="7">
        <f t="shared" si="96"/>
        <v>29.75725592045022</v>
      </c>
      <c r="M192" s="7">
        <f t="shared" si="96"/>
        <v>10.389206282513491</v>
      </c>
      <c r="N192" s="7">
        <f t="shared" si="96"/>
        <v>15.325273597562978</v>
      </c>
      <c r="O192" s="7"/>
      <c r="P192" s="3" t="e">
        <f ca="1">[4]!FormDisp(J192)</f>
        <v>#NAME?</v>
      </c>
      <c r="Q192" s="9"/>
      <c r="R192" s="9"/>
      <c r="S192" s="9"/>
      <c r="T192" s="9"/>
      <c r="U192" s="3"/>
      <c r="V192" s="3"/>
    </row>
    <row r="193" spans="1:22" ht="30">
      <c r="A193" s="1">
        <f t="shared" si="51"/>
        <v>193</v>
      </c>
      <c r="B193" s="50" t="s">
        <v>220</v>
      </c>
      <c r="C193" s="4"/>
      <c r="D193" s="1"/>
      <c r="E193" s="7">
        <f>D193+E191-D192</f>
        <v>10.15738412000006</v>
      </c>
      <c r="F193" s="7">
        <f t="shared" ref="F193:N193" si="97">E193+F191-E192</f>
        <v>17.897779939859483</v>
      </c>
      <c r="G193" s="7">
        <f t="shared" si="97"/>
        <v>26.746948105930379</v>
      </c>
      <c r="H193" s="7">
        <f t="shared" si="97"/>
        <v>37.459569015641343</v>
      </c>
      <c r="I193" s="7">
        <f t="shared" si="97"/>
        <v>44.868814722074447</v>
      </c>
      <c r="J193" s="7">
        <f>I193+J191-I192</f>
        <v>59.672802950952558</v>
      </c>
      <c r="K193" s="7">
        <f t="shared" si="97"/>
        <v>73.705924699054279</v>
      </c>
      <c r="L193" s="7">
        <f t="shared" si="97"/>
        <v>89.357615668765618</v>
      </c>
      <c r="M193" s="7">
        <f t="shared" si="97"/>
        <v>74.080089758787167</v>
      </c>
      <c r="N193" s="7">
        <f t="shared" si="97"/>
        <v>85.050149814340529</v>
      </c>
      <c r="O193" s="3"/>
      <c r="P193" s="3" t="e">
        <f ca="1">[4]!FormDisp(J193)</f>
        <v>#NAME?</v>
      </c>
      <c r="Q193" s="9"/>
      <c r="R193" s="9"/>
      <c r="S193" s="9"/>
      <c r="T193" s="9"/>
      <c r="U193" s="3"/>
      <c r="V193" s="3"/>
    </row>
    <row r="194" spans="1:22" ht="12.75">
      <c r="A194" s="1">
        <f t="shared" si="51"/>
        <v>194</v>
      </c>
      <c r="B194" s="104" t="s">
        <v>221</v>
      </c>
      <c r="C194" s="28"/>
      <c r="E194" s="7">
        <f t="shared" ref="E194:N194" si="98">+E185*E39</f>
        <v>0</v>
      </c>
      <c r="F194" s="7">
        <f t="shared" si="98"/>
        <v>0</v>
      </c>
      <c r="G194" s="7">
        <f t="shared" si="98"/>
        <v>0</v>
      </c>
      <c r="H194" s="7">
        <f t="shared" si="98"/>
        <v>0</v>
      </c>
      <c r="I194" s="7">
        <f t="shared" si="98"/>
        <v>0</v>
      </c>
      <c r="J194" s="7">
        <f t="shared" si="98"/>
        <v>0</v>
      </c>
      <c r="K194" s="7">
        <f t="shared" si="98"/>
        <v>0</v>
      </c>
      <c r="L194" s="7">
        <f t="shared" si="98"/>
        <v>0</v>
      </c>
      <c r="M194" s="7">
        <f t="shared" si="98"/>
        <v>0</v>
      </c>
      <c r="N194" s="7">
        <f t="shared" si="98"/>
        <v>0</v>
      </c>
      <c r="O194" s="19"/>
      <c r="P194" s="3" t="str">
        <f>[4]!FormDisp(J194)</f>
        <v>=+J185*J39</v>
      </c>
      <c r="Q194" s="19"/>
      <c r="R194" s="53"/>
      <c r="S194" s="53"/>
      <c r="T194" s="53"/>
      <c r="U194" s="3"/>
      <c r="V194" s="3"/>
    </row>
    <row r="195" spans="1:22" ht="12.75">
      <c r="A195" s="1">
        <f t="shared" si="51"/>
        <v>195</v>
      </c>
      <c r="J195" s="25"/>
      <c r="K195" s="25"/>
      <c r="L195" s="3"/>
      <c r="M195" s="3"/>
      <c r="N195" s="3"/>
      <c r="O195" s="3"/>
      <c r="P195" s="3" t="str">
        <f>[4]!FormDisp(J195)</f>
        <v/>
      </c>
      <c r="Q195" s="3"/>
      <c r="R195" s="3"/>
      <c r="S195" s="3"/>
      <c r="T195" s="3"/>
      <c r="U195" s="3"/>
      <c r="V195" s="3"/>
    </row>
    <row r="196" spans="1:22" ht="15">
      <c r="A196" s="1">
        <f t="shared" si="51"/>
        <v>196</v>
      </c>
      <c r="B196" s="108" t="s">
        <v>262</v>
      </c>
      <c r="J196" s="25"/>
      <c r="K196" s="25"/>
      <c r="L196" s="3"/>
      <c r="M196" s="3"/>
      <c r="N196" s="3"/>
      <c r="O196" s="3"/>
      <c r="P196" s="3" t="str">
        <f>[4]!FormDisp(J196)</f>
        <v/>
      </c>
      <c r="Q196" s="3"/>
      <c r="R196" s="3"/>
      <c r="S196" s="3"/>
      <c r="T196" s="3"/>
      <c r="U196" s="3"/>
      <c r="V196" s="3"/>
    </row>
    <row r="197" spans="1:22" ht="15">
      <c r="A197" s="1">
        <f t="shared" si="51"/>
        <v>197</v>
      </c>
      <c r="B197" s="56" t="s">
        <v>263</v>
      </c>
      <c r="C197" s="69" t="s">
        <v>70</v>
      </c>
      <c r="D197" s="70">
        <v>0</v>
      </c>
      <c r="E197" s="70">
        <v>1</v>
      </c>
      <c r="F197" s="70">
        <v>2</v>
      </c>
      <c r="G197" s="70">
        <v>3</v>
      </c>
      <c r="H197" s="70">
        <v>4</v>
      </c>
      <c r="I197" s="70">
        <v>5</v>
      </c>
      <c r="J197" s="75"/>
      <c r="K197" s="75"/>
      <c r="L197" s="3"/>
      <c r="M197" s="3"/>
      <c r="N197" s="3"/>
      <c r="O197" s="3"/>
      <c r="P197" s="3" t="str">
        <f>[4]!FormDisp(J197)</f>
        <v/>
      </c>
      <c r="Q197" s="3"/>
      <c r="R197" s="3"/>
      <c r="S197" s="3"/>
      <c r="T197" s="3"/>
      <c r="U197" s="3"/>
      <c r="V197" s="3"/>
    </row>
    <row r="198" spans="1:22" ht="15">
      <c r="A198" s="1">
        <f t="shared" si="51"/>
        <v>198</v>
      </c>
      <c r="B198" s="33" t="s">
        <v>264</v>
      </c>
      <c r="C198" s="4" t="s">
        <v>71</v>
      </c>
      <c r="D198" s="7">
        <f t="shared" ref="D198:I198" si="99">D151</f>
        <v>13</v>
      </c>
      <c r="E198" s="7">
        <f t="shared" si="99"/>
        <v>10</v>
      </c>
      <c r="F198" s="7">
        <f t="shared" si="99"/>
        <v>11</v>
      </c>
      <c r="G198" s="7">
        <f t="shared" si="99"/>
        <v>12</v>
      </c>
      <c r="H198" s="7">
        <f t="shared" si="99"/>
        <v>13</v>
      </c>
      <c r="I198" s="7">
        <f t="shared" si="99"/>
        <v>14</v>
      </c>
      <c r="J198" s="7">
        <f>J151</f>
        <v>14.771840894089266</v>
      </c>
      <c r="K198" s="7">
        <f>K151</f>
        <v>15.681110975377678</v>
      </c>
      <c r="L198" s="7">
        <f>L151</f>
        <v>16.565933372676412</v>
      </c>
      <c r="M198" s="7">
        <f>M151</f>
        <v>17.500682760224194</v>
      </c>
      <c r="N198" s="7">
        <f>N151</f>
        <v>18.488176318466387</v>
      </c>
      <c r="O198" s="3"/>
      <c r="P198" s="3" t="e">
        <f ca="1">[4]!FormDisp(J198)</f>
        <v>#NAME?</v>
      </c>
      <c r="Q198" s="3"/>
      <c r="R198" s="3"/>
      <c r="S198" s="3"/>
      <c r="T198" s="3"/>
      <c r="U198" s="3"/>
      <c r="V198" s="3"/>
    </row>
    <row r="199" spans="1:22" ht="30">
      <c r="A199" s="1">
        <f t="shared" si="51"/>
        <v>199</v>
      </c>
      <c r="B199" s="56" t="s">
        <v>265</v>
      </c>
      <c r="C199" s="4" t="s">
        <v>72</v>
      </c>
      <c r="D199" s="7">
        <f t="shared" ref="D199:I199" si="100">D97</f>
        <v>0</v>
      </c>
      <c r="E199" s="7">
        <f t="shared" si="100"/>
        <v>22.886841600000004</v>
      </c>
      <c r="F199" s="7">
        <f t="shared" si="100"/>
        <v>24.606509442246143</v>
      </c>
      <c r="G199" s="7">
        <f t="shared" si="100"/>
        <v>17.776798040333684</v>
      </c>
      <c r="H199" s="7">
        <f t="shared" si="100"/>
        <v>33.552697467841035</v>
      </c>
      <c r="I199" s="7">
        <f t="shared" si="100"/>
        <v>15.465117369524673</v>
      </c>
      <c r="J199" s="7">
        <f>J97</f>
        <v>28.593709843834436</v>
      </c>
      <c r="K199" s="7">
        <f>K97</f>
        <v>30.353775164091449</v>
      </c>
      <c r="L199" s="7">
        <f>L97</f>
        <v>32.06651733841381</v>
      </c>
      <c r="M199" s="7">
        <f>M97</f>
        <v>33.875902705875866</v>
      </c>
      <c r="N199" s="7">
        <f>N97</f>
        <v>35.787384455474928</v>
      </c>
      <c r="O199" s="3"/>
      <c r="P199" s="3" t="e">
        <f ca="1">[4]!FormDisp(J199)</f>
        <v>#NAME?</v>
      </c>
      <c r="Q199" s="3"/>
      <c r="R199" s="3"/>
      <c r="S199" s="3"/>
      <c r="T199" s="3"/>
      <c r="U199" s="3"/>
      <c r="V199" s="3"/>
    </row>
    <row r="200" spans="1:22" ht="15">
      <c r="A200" s="1">
        <f t="shared" si="51"/>
        <v>200</v>
      </c>
      <c r="B200" s="56" t="s">
        <v>266</v>
      </c>
      <c r="C200" s="4" t="s">
        <v>72</v>
      </c>
      <c r="D200" s="7">
        <f t="shared" ref="D200:I200" si="101">+D84</f>
        <v>20</v>
      </c>
      <c r="E200" s="7">
        <f t="shared" si="101"/>
        <v>22.637624999999989</v>
      </c>
      <c r="F200" s="7">
        <f t="shared" si="101"/>
        <v>23.249470526956795</v>
      </c>
      <c r="G200" s="7">
        <f t="shared" si="101"/>
        <v>28.259760211266673</v>
      </c>
      <c r="H200" s="7">
        <f t="shared" si="101"/>
        <v>28.58684927336196</v>
      </c>
      <c r="I200" s="7">
        <f t="shared" si="101"/>
        <v>30.262332419423046</v>
      </c>
      <c r="J200" s="7">
        <f>+J84</f>
        <v>22.793653030238005</v>
      </c>
      <c r="K200" s="7">
        <f>+K84</f>
        <v>24.082931808452575</v>
      </c>
      <c r="L200" s="7">
        <f>+L84</f>
        <v>25.322212777364907</v>
      </c>
      <c r="M200" s="7">
        <f>+M84</f>
        <v>26.625265770884692</v>
      </c>
      <c r="N200" s="7">
        <f>+N84</f>
        <v>27.995372426690992</v>
      </c>
      <c r="O200" s="3"/>
      <c r="P200" s="3" t="e">
        <f ca="1">[4]!FormDisp(J200)</f>
        <v>#NAME?</v>
      </c>
      <c r="Q200" s="3"/>
      <c r="R200" s="3"/>
      <c r="S200" s="3"/>
      <c r="T200" s="3"/>
      <c r="U200" s="3"/>
      <c r="V200" s="3"/>
    </row>
    <row r="201" spans="1:22" ht="15">
      <c r="A201" s="1">
        <f t="shared" si="51"/>
        <v>201</v>
      </c>
      <c r="B201" s="56" t="s">
        <v>258</v>
      </c>
      <c r="C201" s="4" t="s">
        <v>71</v>
      </c>
      <c r="D201" s="7">
        <f>SUM($D$148:D148)-SUM($D$146:D146)</f>
        <v>0</v>
      </c>
      <c r="E201" s="7">
        <f>SUM($D$148:E148)-SUM($D$146:E146)</f>
        <v>0</v>
      </c>
      <c r="F201" s="7">
        <f>SUM($D$148:F148)-SUM($D$146:F146)</f>
        <v>7.6668047436499407</v>
      </c>
      <c r="G201" s="7">
        <f>SUM($D$148:G148)-SUM($D$146:G146)</f>
        <v>28.116054711877268</v>
      </c>
      <c r="H201" s="7">
        <f>SUM($D$148:H148)-SUM($D$146:H146)</f>
        <v>0</v>
      </c>
      <c r="I201" s="7">
        <f>SUM($D$148:I148)-SUM($D$146:I146)</f>
        <v>31.123749347172151</v>
      </c>
      <c r="J201" s="7">
        <f>+J148</f>
        <v>55.063299753339294</v>
      </c>
      <c r="K201" s="7">
        <f>SUM($D$148:K148)-SUM($D$146:K146)</f>
        <v>76.983689250968894</v>
      </c>
      <c r="L201" s="7">
        <f>SUM($D$148:L148)-SUM($D$146:L146)</f>
        <v>0</v>
      </c>
      <c r="M201" s="7">
        <f>SUM($D$148:M148)-SUM($D$146:M146)</f>
        <v>17.562451103329124</v>
      </c>
      <c r="N201" s="7">
        <f>SUM($D$148:N148)-SUM($D$146:N146)</f>
        <v>61.257581271663241</v>
      </c>
      <c r="O201" s="3"/>
      <c r="P201" s="3" t="e">
        <f ca="1">[4]!FormDisp(J201)</f>
        <v>#NAME?</v>
      </c>
      <c r="Q201" s="3"/>
      <c r="R201" s="3"/>
      <c r="S201" s="3"/>
      <c r="T201" s="3"/>
      <c r="U201" s="3"/>
      <c r="V201" s="3"/>
    </row>
    <row r="202" spans="1:22" ht="15">
      <c r="A202" s="1">
        <f t="shared" si="51"/>
        <v>202</v>
      </c>
      <c r="B202" s="56" t="s">
        <v>267</v>
      </c>
      <c r="C202" s="4"/>
      <c r="D202" s="7">
        <f t="shared" ref="D202:I202" si="102">SUM(D198:D201)</f>
        <v>33</v>
      </c>
      <c r="E202" s="7">
        <f t="shared" si="102"/>
        <v>55.524466599999997</v>
      </c>
      <c r="F202" s="7">
        <f>SUM(F198:F201)</f>
        <v>66.522784712852882</v>
      </c>
      <c r="G202" s="7">
        <f t="shared" si="102"/>
        <v>86.152612963477623</v>
      </c>
      <c r="H202" s="7">
        <f t="shared" si="102"/>
        <v>75.139546741202992</v>
      </c>
      <c r="I202" s="7">
        <f t="shared" si="102"/>
        <v>90.851199136119874</v>
      </c>
      <c r="J202" s="7">
        <f>SUM(J198:J201)</f>
        <v>121.222503521501</v>
      </c>
      <c r="K202" s="7">
        <f>SUM(K198:K201)</f>
        <v>147.1015071988906</v>
      </c>
      <c r="L202" s="7">
        <f>SUM(L198:L201)</f>
        <v>73.954663488455125</v>
      </c>
      <c r="M202" s="7">
        <f>SUM(M198:M201)</f>
        <v>95.564302340313873</v>
      </c>
      <c r="N202" s="7">
        <f>SUM(N198:N201)</f>
        <v>143.52851447229554</v>
      </c>
      <c r="O202" s="3"/>
      <c r="P202" s="3" t="e">
        <f ca="1">[4]!FormDisp(J202)</f>
        <v>#NAME?</v>
      </c>
      <c r="Q202" s="3"/>
      <c r="R202" s="3"/>
      <c r="S202" s="3"/>
      <c r="T202" s="3"/>
      <c r="U202" s="3"/>
      <c r="V202" s="3"/>
    </row>
    <row r="203" spans="1:22" ht="15">
      <c r="A203" s="1">
        <f t="shared" si="51"/>
        <v>203</v>
      </c>
      <c r="B203" s="56" t="s">
        <v>268</v>
      </c>
      <c r="C203" s="4" t="s">
        <v>72</v>
      </c>
      <c r="D203" s="7">
        <f t="shared" ref="D203:I203" si="103">+D68</f>
        <v>45</v>
      </c>
      <c r="E203" s="7">
        <f t="shared" si="103"/>
        <v>33.75</v>
      </c>
      <c r="F203" s="7">
        <f t="shared" si="103"/>
        <v>22.5</v>
      </c>
      <c r="G203" s="7">
        <f t="shared" si="103"/>
        <v>11.25</v>
      </c>
      <c r="H203" s="7">
        <f t="shared" si="103"/>
        <v>56.305269589880119</v>
      </c>
      <c r="I203" s="7">
        <f t="shared" si="103"/>
        <v>42.228952192410091</v>
      </c>
      <c r="J203" s="7">
        <f>+J68</f>
        <v>28.152634794940063</v>
      </c>
      <c r="K203" s="7">
        <f>+K68</f>
        <v>14.076317397470033</v>
      </c>
      <c r="L203" s="7">
        <f>+L68</f>
        <v>200</v>
      </c>
      <c r="M203" s="7">
        <f>+M68</f>
        <v>150</v>
      </c>
      <c r="N203" s="7">
        <f>+N68</f>
        <v>100</v>
      </c>
      <c r="O203" s="3"/>
      <c r="P203" s="3" t="str">
        <f>[4]!FormDisp(J203)</f>
        <v>=+J68</v>
      </c>
      <c r="Q203" s="3"/>
      <c r="R203" s="3"/>
      <c r="S203" s="3"/>
      <c r="T203" s="3"/>
      <c r="U203" s="3"/>
      <c r="V203" s="3"/>
    </row>
    <row r="204" spans="1:22" ht="15">
      <c r="A204" s="1">
        <f t="shared" si="51"/>
        <v>204</v>
      </c>
      <c r="B204" s="54" t="s">
        <v>0</v>
      </c>
      <c r="C204" s="4"/>
      <c r="D204" s="17">
        <f t="shared" ref="D204:I204" si="104">D203+D200+D199+D198+D201</f>
        <v>78</v>
      </c>
      <c r="E204" s="17">
        <f t="shared" si="104"/>
        <v>89.274466599999982</v>
      </c>
      <c r="F204" s="17">
        <f t="shared" si="104"/>
        <v>89.022784712852882</v>
      </c>
      <c r="G204" s="17">
        <f t="shared" si="104"/>
        <v>97.402612963477623</v>
      </c>
      <c r="H204" s="17">
        <f t="shared" si="104"/>
        <v>131.4448163310831</v>
      </c>
      <c r="I204" s="17">
        <f t="shared" si="104"/>
        <v>133.08015132852995</v>
      </c>
      <c r="J204" s="17">
        <f>J203+J200+J199+J198+J201</f>
        <v>149.37513831644105</v>
      </c>
      <c r="K204" s="17">
        <f>K203+K200+K199+K198+K201</f>
        <v>161.17782459636061</v>
      </c>
      <c r="L204" s="17">
        <f>L203+L200+L199+L198+L201</f>
        <v>273.95466348845514</v>
      </c>
      <c r="M204" s="17">
        <f>M203+M200+M199+M198+M201</f>
        <v>245.56430234031387</v>
      </c>
      <c r="N204" s="17">
        <f>N203+N200+N199+N198+N201</f>
        <v>243.52851447229557</v>
      </c>
      <c r="O204" s="3"/>
      <c r="P204" s="3" t="e">
        <f ca="1">[4]!FormDisp(J204)</f>
        <v>#NAME?</v>
      </c>
      <c r="Q204" s="3"/>
      <c r="R204" s="3"/>
      <c r="S204" s="3"/>
      <c r="T204" s="3"/>
      <c r="U204" s="3"/>
      <c r="V204" s="3"/>
    </row>
    <row r="205" spans="1:22" ht="15">
      <c r="A205" s="1">
        <f t="shared" si="51"/>
        <v>205</v>
      </c>
      <c r="B205" s="56" t="s">
        <v>269</v>
      </c>
      <c r="C205" s="4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3"/>
      <c r="P205" s="3" t="str">
        <f>[4]!FormDisp(J205)</f>
        <v/>
      </c>
      <c r="Q205" s="3"/>
      <c r="R205" s="3"/>
      <c r="S205" s="3"/>
      <c r="T205" s="3"/>
      <c r="U205" s="3"/>
      <c r="V205" s="3"/>
    </row>
    <row r="206" spans="1:22" ht="30">
      <c r="A206" s="1">
        <f t="shared" si="51"/>
        <v>206</v>
      </c>
      <c r="B206" s="56" t="s">
        <v>270</v>
      </c>
      <c r="C206" s="4" t="s">
        <v>72</v>
      </c>
      <c r="D206" s="7">
        <f t="shared" ref="D206:I206" si="105">D100</f>
        <v>0</v>
      </c>
      <c r="E206" s="7">
        <f t="shared" si="105"/>
        <v>27.29831249999998</v>
      </c>
      <c r="F206" s="7">
        <f t="shared" si="105"/>
        <v>31.882604772993318</v>
      </c>
      <c r="G206" s="7">
        <f t="shared" si="105"/>
        <v>38.10686485754718</v>
      </c>
      <c r="H206" s="7">
        <f t="shared" si="105"/>
        <v>23.455712778027703</v>
      </c>
      <c r="I206" s="7">
        <f t="shared" si="105"/>
        <v>28.842835522782821</v>
      </c>
      <c r="J206" s="7">
        <f>J100</f>
        <v>35.494867735557193</v>
      </c>
      <c r="K206" s="7">
        <f>K100</f>
        <v>38.425465721116666</v>
      </c>
      <c r="L206" s="7">
        <f>L100</f>
        <v>40.402797582890173</v>
      </c>
      <c r="M206" s="7">
        <f>M100</f>
        <v>42.481880749903894</v>
      </c>
      <c r="N206" s="7">
        <f>N100</f>
        <v>44.667951231508653</v>
      </c>
      <c r="O206" s="3"/>
      <c r="P206" s="3" t="e">
        <f ca="1">[4]!FormDisp(J206)</f>
        <v>#NAME?</v>
      </c>
      <c r="Q206" s="3"/>
      <c r="R206" s="3"/>
      <c r="S206" s="3"/>
      <c r="T206" s="3"/>
      <c r="U206" s="3"/>
      <c r="V206" s="3"/>
    </row>
    <row r="207" spans="1:22" ht="15">
      <c r="A207" s="1">
        <f t="shared" si="51"/>
        <v>207</v>
      </c>
      <c r="B207" s="56" t="s">
        <v>271</v>
      </c>
      <c r="C207" s="4" t="s">
        <v>71</v>
      </c>
      <c r="D207" s="7">
        <f>SUM($D$129:D129)-SUM($D$134:D134)</f>
        <v>33</v>
      </c>
      <c r="E207" s="7">
        <f>SUM($D$129:E129)-SUM($D$134:E134)</f>
        <v>5.8827699799999564</v>
      </c>
      <c r="F207" s="7">
        <f>SUM($D$129:F129)-SUM($D$134:F134)</f>
        <v>0</v>
      </c>
      <c r="G207" s="7">
        <f>SUM($D$129:G129)-SUM($D$134:G134)</f>
        <v>0</v>
      </c>
      <c r="H207" s="7">
        <f>SUM($D$129:H129)-SUM($D$134:H134)</f>
        <v>0</v>
      </c>
      <c r="I207" s="7">
        <f>SUM($D$129:I129)-SUM($D$134:I134)</f>
        <v>0</v>
      </c>
      <c r="J207" s="7">
        <f>+J168</f>
        <v>0</v>
      </c>
      <c r="K207" s="7">
        <f>SUM($D$129:K129)-SUM($D$134:K134)</f>
        <v>0</v>
      </c>
      <c r="L207" s="7">
        <f>SUM($D$129:L129)-SUM($D$134:L134)</f>
        <v>0</v>
      </c>
      <c r="M207" s="7">
        <f>SUM($D$129:M129)-SUM($D$134:M134)</f>
        <v>0</v>
      </c>
      <c r="N207" s="7">
        <f>SUM($D$129:N129)-SUM($D$134:N134)</f>
        <v>0</v>
      </c>
      <c r="O207" s="3"/>
      <c r="P207" s="3" t="e">
        <f ca="1">[4]!FormDisp(J207)</f>
        <v>#NAME?</v>
      </c>
      <c r="Q207" s="3"/>
      <c r="R207" s="3"/>
      <c r="S207" s="3"/>
      <c r="T207" s="3"/>
      <c r="U207" s="3"/>
      <c r="V207" s="3"/>
    </row>
    <row r="208" spans="1:22" ht="15">
      <c r="A208" s="1">
        <f t="shared" si="51"/>
        <v>208</v>
      </c>
      <c r="B208" s="56" t="s">
        <v>272</v>
      </c>
      <c r="C208" s="4"/>
      <c r="D208" s="7">
        <f t="shared" ref="D208:I208" si="106">SUM(D206:D207)</f>
        <v>33</v>
      </c>
      <c r="E208" s="7">
        <f t="shared" si="106"/>
        <v>33.181082479999937</v>
      </c>
      <c r="F208" s="7">
        <f t="shared" si="106"/>
        <v>31.882604772993318</v>
      </c>
      <c r="G208" s="7">
        <f t="shared" si="106"/>
        <v>38.10686485754718</v>
      </c>
      <c r="H208" s="7">
        <f t="shared" si="106"/>
        <v>23.455712778027703</v>
      </c>
      <c r="I208" s="7">
        <f t="shared" si="106"/>
        <v>28.842835522782821</v>
      </c>
      <c r="J208" s="7">
        <f>SUM(J206:J207)</f>
        <v>35.494867735557193</v>
      </c>
      <c r="K208" s="7">
        <f>SUM(K206:K207)</f>
        <v>38.425465721116666</v>
      </c>
      <c r="L208" s="7">
        <f>SUM(L206:L207)</f>
        <v>40.402797582890173</v>
      </c>
      <c r="M208" s="7">
        <f>SUM(M206:M207)</f>
        <v>42.481880749903894</v>
      </c>
      <c r="N208" s="7">
        <f>SUM(N206:N207)</f>
        <v>44.667951231508653</v>
      </c>
      <c r="O208" s="3"/>
      <c r="P208" s="3" t="e">
        <f ca="1">[4]!FormDisp(J208)</f>
        <v>#NAME?</v>
      </c>
      <c r="Q208" s="3"/>
      <c r="R208" s="3"/>
      <c r="S208" s="3"/>
      <c r="T208" s="3"/>
      <c r="U208" s="3"/>
      <c r="V208" s="3"/>
    </row>
    <row r="209" spans="1:24" ht="15">
      <c r="A209" s="1">
        <f t="shared" si="51"/>
        <v>209</v>
      </c>
      <c r="B209" s="56" t="s">
        <v>273</v>
      </c>
      <c r="C209" s="4" t="s">
        <v>71</v>
      </c>
      <c r="D209" s="7">
        <f>SUM($D$128:D128)+SUM($D$130:D130)-SUM($D$132:D132)-SUM($D$136:D136)</f>
        <v>30</v>
      </c>
      <c r="E209" s="7">
        <f>SUM($D$128:E128)+SUM($D$130:E130)-SUM($D$132:E132)-SUM($D$136:E136)</f>
        <v>30.936000000000007</v>
      </c>
      <c r="F209" s="7">
        <f>SUM($D$128:F128)+SUM($D$130:F130)-SUM($D$132:F132)-SUM($D$136:F136)</f>
        <v>24.242400000000007</v>
      </c>
      <c r="G209" s="7">
        <f>SUM($D$128:G128)+SUM($D$130:G130)-SUM($D$132:G132)-SUM($D$136:G136)</f>
        <v>17.548800000000007</v>
      </c>
      <c r="H209" s="7">
        <f>SUM($D$128:H128)+SUM($D$130:H130)-SUM($D$132:H132)-SUM($D$136:H136)</f>
        <v>55.529534537414072</v>
      </c>
      <c r="I209" s="7">
        <f>SUM($D$128:I128)+SUM($D$130:I130)-SUM($D$132:I132)-SUM($D$136:I136)</f>
        <v>44.368501083672669</v>
      </c>
      <c r="J209" s="7">
        <f>+J176+J160</f>
        <v>39.207467629931251</v>
      </c>
      <c r="K209" s="7">
        <f>SUM($D$128:K128)+SUM($D$130:K130)-SUM($D$132:K132)-SUM($D$136:K136)</f>
        <v>34.046434176189848</v>
      </c>
      <c r="L209" s="7">
        <f>SUM($D$128:L128)+SUM($D$130:L130)-SUM($D$132:L132)-SUM($D$136:L136)</f>
        <v>129.19425023679958</v>
      </c>
      <c r="M209" s="7">
        <f>SUM($D$128:M128)+SUM($D$130:M130)-SUM($D$132:M132)-SUM($D$136:M136)</f>
        <v>114.00233183162305</v>
      </c>
      <c r="N209" s="7">
        <f>SUM($D$128:N128)+SUM($D$130:N130)-SUM($D$132:N132)-SUM($D$136:N136)</f>
        <v>98.81041342644653</v>
      </c>
      <c r="O209" s="3"/>
      <c r="P209" s="3" t="e">
        <f ca="1">[4]!FormDisp(J209)</f>
        <v>#NAME?</v>
      </c>
      <c r="Q209" s="3"/>
      <c r="R209" s="3"/>
      <c r="S209" s="3"/>
      <c r="T209" s="3"/>
      <c r="U209" s="3"/>
      <c r="V209" s="3"/>
    </row>
    <row r="210" spans="1:24" ht="15">
      <c r="A210" s="1">
        <f t="shared" si="51"/>
        <v>210</v>
      </c>
      <c r="B210" s="56" t="s">
        <v>274</v>
      </c>
      <c r="C210" s="4"/>
      <c r="D210" s="7">
        <f>++D209+D208</f>
        <v>63</v>
      </c>
      <c r="E210" s="7">
        <f t="shared" ref="E210:N210" si="107">+E209+E208</f>
        <v>64.117082479999937</v>
      </c>
      <c r="F210" s="7">
        <f t="shared" si="107"/>
        <v>56.125004772993321</v>
      </c>
      <c r="G210" s="7">
        <f t="shared" si="107"/>
        <v>55.655664857547187</v>
      </c>
      <c r="H210" s="7">
        <f t="shared" si="107"/>
        <v>78.985247315441768</v>
      </c>
      <c r="I210" s="7">
        <f t="shared" si="107"/>
        <v>73.21133660645549</v>
      </c>
      <c r="J210" s="7">
        <f t="shared" si="107"/>
        <v>74.702335365488437</v>
      </c>
      <c r="K210" s="7">
        <f t="shared" si="107"/>
        <v>72.471899897306514</v>
      </c>
      <c r="L210" s="7">
        <f t="shared" si="107"/>
        <v>169.59704781968975</v>
      </c>
      <c r="M210" s="7">
        <f t="shared" si="107"/>
        <v>156.48421258152695</v>
      </c>
      <c r="N210" s="7">
        <f t="shared" si="107"/>
        <v>143.47836465795518</v>
      </c>
      <c r="O210" s="3"/>
      <c r="P210" s="3" t="e">
        <f ca="1">[4]!FormDisp(J210)</f>
        <v>#NAME?</v>
      </c>
      <c r="Q210" s="3"/>
      <c r="R210" s="3"/>
      <c r="S210" s="3"/>
      <c r="T210" s="3"/>
      <c r="U210" s="3"/>
      <c r="V210" s="3"/>
    </row>
    <row r="211" spans="1:24" ht="15">
      <c r="A211" s="1">
        <f t="shared" si="51"/>
        <v>211</v>
      </c>
      <c r="B211" s="56" t="s">
        <v>275</v>
      </c>
      <c r="C211" s="4" t="s">
        <v>73</v>
      </c>
      <c r="D211" s="7">
        <f>+D7</f>
        <v>15</v>
      </c>
      <c r="E211" s="7">
        <f t="shared" ref="E211:N211" si="108">+D211+E140</f>
        <v>15</v>
      </c>
      <c r="F211" s="7">
        <f t="shared" si="108"/>
        <v>15</v>
      </c>
      <c r="G211" s="7">
        <f t="shared" si="108"/>
        <v>15</v>
      </c>
      <c r="H211" s="7">
        <f t="shared" si="108"/>
        <v>15</v>
      </c>
      <c r="I211" s="7">
        <f t="shared" si="108"/>
        <v>15</v>
      </c>
      <c r="J211" s="7">
        <f t="shared" si="108"/>
        <v>15</v>
      </c>
      <c r="K211" s="7">
        <f t="shared" si="108"/>
        <v>15</v>
      </c>
      <c r="L211" s="7">
        <f t="shared" si="108"/>
        <v>15</v>
      </c>
      <c r="M211" s="7">
        <f t="shared" si="108"/>
        <v>15</v>
      </c>
      <c r="N211" s="7">
        <f t="shared" si="108"/>
        <v>15</v>
      </c>
      <c r="O211" s="3"/>
      <c r="P211" s="3" t="str">
        <f>[4]!FormDisp(J211)</f>
        <v>=+I211+J140</v>
      </c>
      <c r="Q211" s="3"/>
      <c r="R211" s="3"/>
      <c r="S211" s="3"/>
      <c r="T211" s="3"/>
      <c r="U211" s="3"/>
      <c r="V211" s="3"/>
    </row>
    <row r="212" spans="1:24" ht="15">
      <c r="A212" s="1">
        <f t="shared" si="51"/>
        <v>212</v>
      </c>
      <c r="B212" s="56" t="s">
        <v>276</v>
      </c>
      <c r="C212" s="4" t="s">
        <v>74</v>
      </c>
      <c r="D212" s="7">
        <f t="shared" ref="D212:I212" si="109">D193</f>
        <v>0</v>
      </c>
      <c r="E212" s="7">
        <f t="shared" si="109"/>
        <v>10.15738412000006</v>
      </c>
      <c r="F212" s="7">
        <f t="shared" si="109"/>
        <v>17.897779939859483</v>
      </c>
      <c r="G212" s="7">
        <f t="shared" si="109"/>
        <v>26.746948105930379</v>
      </c>
      <c r="H212" s="7">
        <f t="shared" si="109"/>
        <v>37.459569015641343</v>
      </c>
      <c r="I212" s="7">
        <f t="shared" si="109"/>
        <v>44.868814722074447</v>
      </c>
      <c r="J212" s="7">
        <f>J193</f>
        <v>59.672802950952558</v>
      </c>
      <c r="K212" s="7">
        <f>K193</f>
        <v>73.705924699054279</v>
      </c>
      <c r="L212" s="7">
        <f>L193</f>
        <v>89.357615668765618</v>
      </c>
      <c r="M212" s="7">
        <f>M193</f>
        <v>74.080089758787167</v>
      </c>
      <c r="N212" s="7">
        <f>N193</f>
        <v>85.050149814340529</v>
      </c>
      <c r="O212" s="3"/>
      <c r="P212" s="3" t="e">
        <f ca="1">[4]!FormDisp(J212)</f>
        <v>#NAME?</v>
      </c>
      <c r="Q212" s="3"/>
      <c r="R212" s="3"/>
      <c r="S212" s="3"/>
      <c r="T212" s="3"/>
      <c r="U212" s="3"/>
      <c r="V212" s="3"/>
    </row>
    <row r="213" spans="1:24" ht="15">
      <c r="A213" s="1">
        <f t="shared" si="51"/>
        <v>213</v>
      </c>
      <c r="B213" s="56" t="s">
        <v>221</v>
      </c>
      <c r="C213" s="4"/>
      <c r="D213" s="7"/>
      <c r="E213" s="7">
        <f>-E142</f>
        <v>0</v>
      </c>
      <c r="F213" s="7">
        <f t="shared" ref="F213:N213" si="110">+E213-F142</f>
        <v>0</v>
      </c>
      <c r="G213" s="7">
        <f t="shared" si="110"/>
        <v>0</v>
      </c>
      <c r="H213" s="7">
        <f t="shared" si="110"/>
        <v>0</v>
      </c>
      <c r="I213" s="7">
        <f t="shared" si="110"/>
        <v>0</v>
      </c>
      <c r="J213" s="7">
        <f t="shared" si="110"/>
        <v>0</v>
      </c>
      <c r="K213" s="7">
        <f t="shared" si="110"/>
        <v>0</v>
      </c>
      <c r="L213" s="7">
        <f t="shared" si="110"/>
        <v>0</v>
      </c>
      <c r="M213" s="7">
        <f t="shared" si="110"/>
        <v>0</v>
      </c>
      <c r="N213" s="7">
        <f t="shared" si="110"/>
        <v>0</v>
      </c>
      <c r="O213" s="3"/>
      <c r="P213" s="3" t="str">
        <f>[4]!FormDisp(J213)</f>
        <v>=+I213-J142</v>
      </c>
      <c r="Q213" s="3"/>
      <c r="R213" s="3"/>
      <c r="S213" s="3"/>
      <c r="T213" s="3"/>
      <c r="U213" s="3"/>
      <c r="V213" s="3"/>
    </row>
    <row r="214" spans="1:24" ht="30">
      <c r="A214" s="1">
        <f t="shared" si="51"/>
        <v>214</v>
      </c>
      <c r="B214" s="56" t="s">
        <v>277</v>
      </c>
      <c r="C214" s="4"/>
      <c r="D214" s="17">
        <f t="shared" ref="D214:I214" si="111">SUM(D206:D213)-D210-D208</f>
        <v>78</v>
      </c>
      <c r="E214" s="17">
        <f t="shared" si="111"/>
        <v>89.274466600000011</v>
      </c>
      <c r="F214" s="17">
        <f t="shared" si="111"/>
        <v>89.022784712852797</v>
      </c>
      <c r="G214" s="17">
        <f t="shared" si="111"/>
        <v>97.402612963477566</v>
      </c>
      <c r="H214" s="17">
        <f t="shared" si="111"/>
        <v>131.4448163310831</v>
      </c>
      <c r="I214" s="17">
        <f t="shared" si="111"/>
        <v>133.08015132852992</v>
      </c>
      <c r="J214" s="17">
        <f>SUM(J206:J213)-J210-J208</f>
        <v>149.37513831644102</v>
      </c>
      <c r="K214" s="17">
        <f>SUM(K206:K213)-K210-K208</f>
        <v>161.17782459636078</v>
      </c>
      <c r="L214" s="17">
        <f>SUM(L206:L213)-L210-L208</f>
        <v>273.95466348845537</v>
      </c>
      <c r="M214" s="17">
        <f>SUM(M206:M213)-M210-M208</f>
        <v>245.5643023403141</v>
      </c>
      <c r="N214" s="17">
        <f>SUM(N206:N213)-N210-N208</f>
        <v>243.52851447229568</v>
      </c>
      <c r="O214" s="30"/>
      <c r="P214" s="3" t="e">
        <f ca="1">[4]!FormDisp(J214)</f>
        <v>#NAME?</v>
      </c>
      <c r="Q214" s="30"/>
      <c r="R214" s="3"/>
      <c r="S214" s="3"/>
      <c r="T214" s="3"/>
      <c r="U214" s="3"/>
      <c r="V214" s="3"/>
    </row>
    <row r="215" spans="1:24" ht="15">
      <c r="A215" s="1">
        <f t="shared" si="51"/>
        <v>215</v>
      </c>
      <c r="B215" s="57" t="s">
        <v>75</v>
      </c>
      <c r="C215" s="4"/>
      <c r="D215" s="132">
        <f t="shared" ref="D215:I215" si="112">D214-D204</f>
        <v>0</v>
      </c>
      <c r="E215" s="132">
        <f t="shared" si="112"/>
        <v>0</v>
      </c>
      <c r="F215" s="132">
        <f t="shared" si="112"/>
        <v>0</v>
      </c>
      <c r="G215" s="132">
        <f t="shared" si="112"/>
        <v>0</v>
      </c>
      <c r="H215" s="132">
        <f t="shared" si="112"/>
        <v>0</v>
      </c>
      <c r="I215" s="132">
        <f t="shared" si="112"/>
        <v>0</v>
      </c>
      <c r="J215" s="132">
        <f>J214-J204</f>
        <v>0</v>
      </c>
      <c r="K215" s="132">
        <f>K214-K204</f>
        <v>0</v>
      </c>
      <c r="L215" s="132">
        <f>L214-L204</f>
        <v>0</v>
      </c>
      <c r="M215" s="132">
        <f>M214-M204</f>
        <v>2.2737367544323206E-13</v>
      </c>
      <c r="N215" s="132">
        <f>N214-N204</f>
        <v>0</v>
      </c>
      <c r="O215" s="30"/>
      <c r="P215" s="3" t="e">
        <f ca="1">[4]!FormDisp(J215)</f>
        <v>#NAME?</v>
      </c>
      <c r="Q215" s="30"/>
      <c r="R215" s="3"/>
      <c r="S215" s="3"/>
      <c r="T215" s="3"/>
      <c r="U215" s="3"/>
      <c r="V215" s="3"/>
    </row>
    <row r="216" spans="1:24" ht="15">
      <c r="A216" s="1">
        <f t="shared" si="51"/>
        <v>216</v>
      </c>
      <c r="B216" s="79"/>
      <c r="C216" s="4"/>
      <c r="D216" s="7"/>
      <c r="E216" s="7"/>
      <c r="F216" s="7"/>
      <c r="G216" s="7"/>
      <c r="H216" s="7"/>
      <c r="I216" s="7"/>
      <c r="J216" s="7"/>
      <c r="K216" s="7"/>
      <c r="L216" s="25"/>
      <c r="M216" s="25"/>
      <c r="N216" s="3"/>
      <c r="O216" s="3"/>
      <c r="P216" s="30"/>
      <c r="Q216" s="30"/>
      <c r="R216" s="30"/>
      <c r="S216" s="30"/>
      <c r="T216" s="3"/>
      <c r="U216" s="3"/>
      <c r="V216" s="3"/>
      <c r="W216" s="3"/>
      <c r="X216" s="3"/>
    </row>
    <row r="217" spans="1:24" ht="39">
      <c r="A217" s="1">
        <f>ROW(B217)</f>
        <v>217</v>
      </c>
      <c r="B217" s="76"/>
      <c r="D217" s="37" t="s">
        <v>281</v>
      </c>
      <c r="E217" s="60">
        <f>+E203-D203+E185</f>
        <v>0</v>
      </c>
      <c r="F217" s="60">
        <f>+F203-E203+F185</f>
        <v>0</v>
      </c>
      <c r="G217" s="60">
        <f>+G203-F203+G185</f>
        <v>0</v>
      </c>
      <c r="H217" s="60">
        <f>+H203-G203+H185</f>
        <v>56.305269589880119</v>
      </c>
      <c r="I217" s="60">
        <f>+I203-H203+I185</f>
        <v>0</v>
      </c>
      <c r="L217" s="25"/>
      <c r="M217" s="25"/>
    </row>
    <row r="218" spans="1:24" ht="15">
      <c r="A218" s="1">
        <f>ROW(B218)</f>
        <v>218</v>
      </c>
      <c r="B218" s="76"/>
      <c r="D218" s="114" t="s">
        <v>280</v>
      </c>
      <c r="E218" s="60">
        <f>+E200-D200+E181</f>
        <v>272.98312499999997</v>
      </c>
      <c r="F218" s="60">
        <f>+F200-E200+F181</f>
        <v>289.8418615726668</v>
      </c>
      <c r="G218" s="60">
        <f>+G200-F200+G181</f>
        <v>317.55720714622652</v>
      </c>
      <c r="H218" s="60">
        <f>+H200-G200+H181</f>
        <v>335.0816111146811</v>
      </c>
      <c r="I218" s="60">
        <f>+I200-H200+I181</f>
        <v>360.53544403478577</v>
      </c>
      <c r="L218" s="25"/>
      <c r="M218" s="25"/>
    </row>
    <row r="219" spans="1:24" ht="26.25">
      <c r="A219" s="1">
        <f>ROW(B219)</f>
        <v>219</v>
      </c>
      <c r="B219" s="76"/>
      <c r="D219" s="37" t="s">
        <v>282</v>
      </c>
      <c r="E219" s="60"/>
      <c r="F219" s="60"/>
      <c r="G219" s="60"/>
      <c r="L219" s="25"/>
      <c r="M219" s="25"/>
    </row>
    <row r="220" spans="1:24" ht="15">
      <c r="A220" s="1">
        <f>ROW(B220)</f>
        <v>220</v>
      </c>
      <c r="B220" s="76"/>
      <c r="D220" s="37"/>
      <c r="E220" s="60"/>
      <c r="F220" s="60"/>
      <c r="G220" s="60"/>
      <c r="L220" s="25"/>
      <c r="M220" s="25"/>
    </row>
    <row r="221" spans="1:24" ht="15">
      <c r="A221" s="1">
        <f>ROW(B221)</f>
        <v>221</v>
      </c>
      <c r="B221" s="76" t="s">
        <v>337</v>
      </c>
      <c r="D221" s="37"/>
      <c r="E221" s="60"/>
      <c r="F221" s="60">
        <f>+E209-F209</f>
        <v>6.6936</v>
      </c>
      <c r="G221" s="60">
        <f>+F209-G209</f>
        <v>6.6936</v>
      </c>
      <c r="H221" s="60">
        <f>+G209-H209</f>
        <v>-37.980734537414065</v>
      </c>
      <c r="I221" s="60">
        <f>+H209-I209</f>
        <v>11.161033453741403</v>
      </c>
      <c r="L221" s="25"/>
      <c r="M221" s="25"/>
    </row>
    <row r="222" spans="1:24" ht="15">
      <c r="A222" s="1"/>
      <c r="B222" s="76"/>
      <c r="D222" s="37"/>
      <c r="E222" s="60"/>
      <c r="F222" s="60"/>
      <c r="G222" s="60"/>
      <c r="L222" s="25"/>
      <c r="M222" s="25"/>
    </row>
    <row r="223" spans="1:24" ht="15">
      <c r="A223" s="1">
        <f>ROW(B223)</f>
        <v>223</v>
      </c>
      <c r="B223" s="76"/>
      <c r="J223" s="60"/>
      <c r="L223" s="25"/>
      <c r="M223" s="25"/>
    </row>
    <row r="224" spans="1:24" ht="15">
      <c r="A224" s="1">
        <f>ROW(B224)</f>
        <v>224</v>
      </c>
      <c r="B224" s="76"/>
      <c r="E224" s="117">
        <f>+F262/E191</f>
        <v>0.72000000000000008</v>
      </c>
      <c r="F224" s="117">
        <f>+G262/F191</f>
        <v>0.72999999999999976</v>
      </c>
      <c r="G224" s="117">
        <f>+H262/G191</f>
        <v>0.77</v>
      </c>
      <c r="H224" s="117">
        <f>+I262/H191</f>
        <v>0.65000000000000024</v>
      </c>
      <c r="I224" s="117"/>
      <c r="K224" s="118" t="s">
        <v>284</v>
      </c>
      <c r="L224" s="75"/>
      <c r="M224" s="25"/>
    </row>
    <row r="225" spans="1:14" ht="15">
      <c r="A225" s="1">
        <f>ROW(B225)</f>
        <v>225</v>
      </c>
      <c r="B225" s="76"/>
      <c r="L225" s="25"/>
      <c r="M225" s="25"/>
    </row>
    <row r="226" spans="1:14" ht="15">
      <c r="A226" s="1">
        <f>ROW(B226)</f>
        <v>226</v>
      </c>
      <c r="B226" s="76"/>
      <c r="D226" s="119" t="s">
        <v>285</v>
      </c>
      <c r="E226" s="120">
        <f>+E192</f>
        <v>7.3133165664000428</v>
      </c>
      <c r="F226" s="120">
        <f>+F192</f>
        <v>10.989210041969409</v>
      </c>
      <c r="G226" s="120">
        <f>+G192</f>
        <v>15.275551220191034</v>
      </c>
      <c r="H226" s="120">
        <f>+H192</f>
        <v>16.8923118844363</v>
      </c>
      <c r="I226" s="120">
        <f>+I192</f>
        <v>15.796012434065116</v>
      </c>
      <c r="J226" s="59"/>
      <c r="K226" s="59"/>
      <c r="L226" s="25"/>
      <c r="M226" s="25"/>
    </row>
    <row r="227" spans="1:14" ht="15">
      <c r="A227" s="1">
        <f>ROW(B227)</f>
        <v>227</v>
      </c>
      <c r="B227" s="76"/>
      <c r="D227" s="59"/>
      <c r="E227" s="61"/>
      <c r="F227" s="61"/>
      <c r="G227" s="61"/>
      <c r="H227" s="61"/>
      <c r="I227" s="61"/>
      <c r="J227" s="61"/>
      <c r="K227" s="61"/>
      <c r="L227" s="25"/>
      <c r="M227" s="25"/>
    </row>
    <row r="228" spans="1:14">
      <c r="I228" s="60"/>
    </row>
    <row r="229" spans="1:14">
      <c r="C229" t="str">
        <f>+C2</f>
        <v>Year</v>
      </c>
      <c r="D229">
        <f t="shared" ref="D229:I229" si="113">+D2</f>
        <v>0</v>
      </c>
      <c r="E229">
        <f t="shared" si="113"/>
        <v>1</v>
      </c>
      <c r="F229">
        <f t="shared" si="113"/>
        <v>2</v>
      </c>
      <c r="G229">
        <f t="shared" si="113"/>
        <v>3</v>
      </c>
      <c r="H229">
        <f t="shared" si="113"/>
        <v>4</v>
      </c>
      <c r="I229">
        <f t="shared" si="113"/>
        <v>5</v>
      </c>
      <c r="J229">
        <f>+J2</f>
        <v>6</v>
      </c>
      <c r="K229">
        <f>+K2</f>
        <v>7</v>
      </c>
      <c r="L229">
        <f>+L2</f>
        <v>8</v>
      </c>
      <c r="M229">
        <f>+M2</f>
        <v>9</v>
      </c>
      <c r="N229">
        <f>+N2</f>
        <v>10</v>
      </c>
    </row>
    <row r="230" spans="1:14">
      <c r="B230" s="121" t="s">
        <v>286</v>
      </c>
    </row>
    <row r="231" spans="1:14">
      <c r="B231" s="121" t="s">
        <v>287</v>
      </c>
      <c r="E231" s="116">
        <f>+E17</f>
        <v>0.06</v>
      </c>
      <c r="F231" s="116">
        <f>+F17</f>
        <v>5.5E-2</v>
      </c>
      <c r="G231" s="116">
        <f>+G17</f>
        <v>5.5E-2</v>
      </c>
      <c r="H231" s="116">
        <f>+H17</f>
        <v>0.05</v>
      </c>
      <c r="I231" s="116">
        <f>+I17</f>
        <v>4.4999999999999998E-2</v>
      </c>
    </row>
    <row r="232" spans="1:14">
      <c r="B232" s="121" t="s">
        <v>157</v>
      </c>
      <c r="E232" s="122">
        <f>+E59</f>
        <v>8.1200000000000161E-2</v>
      </c>
      <c r="F232" s="122">
        <f>+F59</f>
        <v>8.6649999999999894E-2</v>
      </c>
      <c r="G232" s="122">
        <f>+G59</f>
        <v>9.7199999999999953E-2</v>
      </c>
      <c r="H232" s="122">
        <f>+H59</f>
        <v>6.0499999999999998E-2</v>
      </c>
      <c r="I232" s="122">
        <f>+I59</f>
        <v>6.5899999999999848E-2</v>
      </c>
    </row>
    <row r="233" spans="1:14">
      <c r="B233" s="121" t="s">
        <v>288</v>
      </c>
      <c r="E233" s="60">
        <f t="shared" ref="E233:I234" si="114">+E51</f>
        <v>51</v>
      </c>
      <c r="F233" s="60">
        <f t="shared" si="114"/>
        <v>51.408000000000001</v>
      </c>
      <c r="G233" s="60">
        <f t="shared" si="114"/>
        <v>52.281935999999995</v>
      </c>
      <c r="H233" s="60">
        <f t="shared" si="114"/>
        <v>53.066165039999987</v>
      </c>
      <c r="I233" s="60">
        <f t="shared" si="114"/>
        <v>54.180554505839979</v>
      </c>
    </row>
    <row r="234" spans="1:14">
      <c r="B234" s="121" t="s">
        <v>289</v>
      </c>
      <c r="D234" s="60">
        <f>+D52</f>
        <v>7</v>
      </c>
      <c r="E234" s="60">
        <f t="shared" si="114"/>
        <v>7.4793600000000007</v>
      </c>
      <c r="F234" s="60">
        <f t="shared" si="114"/>
        <v>7.9775227727999996</v>
      </c>
      <c r="G234" s="60">
        <f t="shared" si="114"/>
        <v>8.5004493905570389</v>
      </c>
      <c r="H234" s="60">
        <f t="shared" si="114"/>
        <v>9.0325775224059086</v>
      </c>
      <c r="I234" s="60">
        <f t="shared" si="114"/>
        <v>9.5145558590014865</v>
      </c>
    </row>
    <row r="235" spans="1:14">
      <c r="B235" s="121" t="s">
        <v>290</v>
      </c>
      <c r="D235" s="123">
        <f t="shared" ref="D235:I235" si="115">+D79</f>
        <v>5</v>
      </c>
      <c r="E235" s="123">
        <f t="shared" si="115"/>
        <v>5.3264999999999993</v>
      </c>
      <c r="F235" s="123">
        <f t="shared" si="115"/>
        <v>5.6531742449999989</v>
      </c>
      <c r="G235" s="123">
        <f t="shared" si="115"/>
        <v>6.0058475202743233</v>
      </c>
      <c r="H235" s="123">
        <f t="shared" si="115"/>
        <v>6.3376705957694801</v>
      </c>
      <c r="I235" s="123">
        <f t="shared" si="115"/>
        <v>6.6493572356694228</v>
      </c>
    </row>
    <row r="236" spans="1:14">
      <c r="B236" s="121" t="s">
        <v>64</v>
      </c>
      <c r="E236" s="60">
        <f>+E180</f>
        <v>381.44736000000006</v>
      </c>
      <c r="F236" s="60">
        <f>+F180</f>
        <v>410.10849070410239</v>
      </c>
      <c r="G236" s="60">
        <f>+G180</f>
        <v>444.41995100834208</v>
      </c>
      <c r="H236" s="60">
        <f>+H180</f>
        <v>479.32424954058615</v>
      </c>
      <c r="I236" s="60">
        <f>+I180</f>
        <v>515.50391231748915</v>
      </c>
    </row>
    <row r="237" spans="1:14">
      <c r="B237" s="58" t="s">
        <v>310</v>
      </c>
      <c r="E237" s="126">
        <f t="shared" ref="E237:I238" si="116">+E183</f>
        <v>23.436599999999999</v>
      </c>
      <c r="F237" s="126">
        <f t="shared" si="116"/>
        <v>24.972869129999999</v>
      </c>
      <c r="G237" s="126">
        <f t="shared" si="116"/>
        <v>26.4517624398786</v>
      </c>
      <c r="H237" s="126">
        <f t="shared" si="116"/>
        <v>27.99654536636751</v>
      </c>
      <c r="I237" s="126">
        <f t="shared" si="116"/>
        <v>29.607466586748295</v>
      </c>
    </row>
    <row r="238" spans="1:14">
      <c r="B238" s="121" t="s">
        <v>38</v>
      </c>
      <c r="E238" s="127">
        <f t="shared" si="116"/>
        <v>52.5229152</v>
      </c>
      <c r="F238" s="127">
        <f t="shared" si="116"/>
        <v>56.494218109287161</v>
      </c>
      <c r="G238" s="127">
        <f t="shared" si="116"/>
        <v>60.717433518051948</v>
      </c>
      <c r="H238" s="127">
        <f t="shared" si="116"/>
        <v>64.983109089425682</v>
      </c>
      <c r="I238" s="127">
        <f t="shared" si="116"/>
        <v>69.192812247936644</v>
      </c>
    </row>
    <row r="239" spans="1:14">
      <c r="B239" s="121" t="s">
        <v>292</v>
      </c>
      <c r="E239" s="124"/>
      <c r="F239" s="124">
        <f>+F234/E234-1</f>
        <v>6.6604999999999803E-2</v>
      </c>
      <c r="G239" s="124">
        <f>+G234/F234-1</f>
        <v>6.5549999999999997E-2</v>
      </c>
      <c r="H239" s="124">
        <f>+H234/G234-1</f>
        <v>6.2599999999999989E-2</v>
      </c>
      <c r="I239" s="124">
        <f>+I234/H234-1</f>
        <v>5.3359999999999852E-2</v>
      </c>
    </row>
    <row r="240" spans="1:14">
      <c r="B240" s="121" t="s">
        <v>291</v>
      </c>
      <c r="E240" s="124"/>
      <c r="F240" s="124">
        <f>+(1+F239)/(1+F231)-1</f>
        <v>1.0999999999999899E-2</v>
      </c>
      <c r="G240" s="124">
        <f>+(1+G239)/(1+G231)-1</f>
        <v>1.0000000000000009E-2</v>
      </c>
      <c r="H240" s="124">
        <f>+(1+H239)/(1+H231)-1</f>
        <v>1.2000000000000011E-2</v>
      </c>
      <c r="I240" s="124">
        <f>+(1+I239)/(1+I231)-1</f>
        <v>8.0000000000000071E-3</v>
      </c>
      <c r="J240" s="134">
        <f>AVERAGE(E240:I240)</f>
        <v>1.0249999999999981E-2</v>
      </c>
    </row>
    <row r="241" spans="2:13">
      <c r="B241" s="121" t="s">
        <v>293</v>
      </c>
      <c r="E241" s="124"/>
      <c r="F241" s="124">
        <f>+F235/E235-1</f>
        <v>6.1329999999999885E-2</v>
      </c>
      <c r="G241" s="124">
        <f>+G235/F235-1</f>
        <v>6.2384999999999913E-2</v>
      </c>
      <c r="H241" s="124">
        <f>+H235/G235-1</f>
        <v>5.5250000000000021E-2</v>
      </c>
      <c r="I241" s="124">
        <f>+I235/H235-1</f>
        <v>4.9180000000000001E-2</v>
      </c>
      <c r="J241" s="122"/>
    </row>
    <row r="242" spans="2:13">
      <c r="B242" s="121" t="s">
        <v>294</v>
      </c>
      <c r="E242" s="124"/>
      <c r="F242" s="124">
        <f>+(1+F241)/(1+F231)-1</f>
        <v>6.0000000000000053E-3</v>
      </c>
      <c r="G242" s="124">
        <f>+(1+G241)/(1+G231)-1</f>
        <v>6.9999999999998952E-3</v>
      </c>
      <c r="H242" s="124">
        <f>+(1+H241)/(1+H231)-1</f>
        <v>4.9999999999998934E-3</v>
      </c>
      <c r="I242" s="124">
        <f>+(1+I241)/(1+I231)-1</f>
        <v>4.0000000000000036E-3</v>
      </c>
      <c r="J242" s="122">
        <f t="shared" ref="J242:J250" si="117">AVERAGE(E242:I242)</f>
        <v>5.4999999999999494E-3</v>
      </c>
    </row>
    <row r="243" spans="2:13">
      <c r="B243" s="121" t="s">
        <v>295</v>
      </c>
      <c r="E243" s="124"/>
      <c r="F243" s="124">
        <f>+F180/E180-1</f>
        <v>7.5137839999999789E-2</v>
      </c>
      <c r="G243" s="124">
        <f>+G180/F180-1</f>
        <v>8.3664349999999832E-2</v>
      </c>
      <c r="H243" s="124">
        <f>+H180/G180-1</f>
        <v>7.8538999999999692E-2</v>
      </c>
      <c r="I243" s="124">
        <f>+I180/H180-1</f>
        <v>7.5480559999999697E-2</v>
      </c>
      <c r="J243" s="122">
        <f t="shared" si="117"/>
        <v>7.8205437499999753E-2</v>
      </c>
    </row>
    <row r="244" spans="2:13">
      <c r="B244" s="121" t="s">
        <v>296</v>
      </c>
      <c r="E244" s="124"/>
      <c r="F244" s="124">
        <f>+(1+F243)/(1+F231)-1</f>
        <v>1.9087999999999772E-2</v>
      </c>
      <c r="G244" s="124">
        <f>+(1+G243)/(1+G231)-1</f>
        <v>2.7169999999999916E-2</v>
      </c>
      <c r="H244" s="124">
        <f>+(1+H243)/(1+H231)-1</f>
        <v>2.717999999999976E-2</v>
      </c>
      <c r="I244" s="124">
        <f>+(1+I243)/(1+I231)-1</f>
        <v>2.9167999999999861E-2</v>
      </c>
      <c r="J244" s="122">
        <f t="shared" si="117"/>
        <v>2.5651499999999827E-2</v>
      </c>
      <c r="K244" s="114" t="s">
        <v>296</v>
      </c>
      <c r="L244" s="114" t="s">
        <v>297</v>
      </c>
      <c r="M244" s="114" t="s">
        <v>373</v>
      </c>
    </row>
    <row r="245" spans="2:13">
      <c r="B245" s="121" t="s">
        <v>336</v>
      </c>
      <c r="E245" s="124">
        <f>+E182/E180</f>
        <v>0.29126393744080464</v>
      </c>
      <c r="F245" s="124">
        <f>+F182/F180</f>
        <v>0.29474755436265154</v>
      </c>
      <c r="G245" s="124">
        <f>+G182/G180</f>
        <v>0.29673067837575573</v>
      </c>
      <c r="H245" s="124">
        <f>+H182/H180</f>
        <v>0.30161154505862131</v>
      </c>
      <c r="I245" s="124">
        <f>+I182/I180</f>
        <v>0.30386568886462767</v>
      </c>
      <c r="J245" s="122">
        <f t="shared" si="117"/>
        <v>0.29764388082049215</v>
      </c>
      <c r="K245" s="122">
        <f>+J244</f>
        <v>2.5651499999999827E-2</v>
      </c>
      <c r="L245" s="122">
        <v>0</v>
      </c>
      <c r="M245" s="122">
        <f t="shared" ref="M245:M250" si="118">+(1+K245)/(1+L245)-1</f>
        <v>2.5651499999999938E-2</v>
      </c>
    </row>
    <row r="246" spans="2:13">
      <c r="B246" s="121" t="s">
        <v>297</v>
      </c>
      <c r="F246" s="124">
        <f>+F233/E233-1</f>
        <v>8.0000000000000071E-3</v>
      </c>
      <c r="G246" s="124">
        <f>+G233/F233-1</f>
        <v>1.6999999999999904E-2</v>
      </c>
      <c r="H246" s="124">
        <f>+H233/G233-1</f>
        <v>1.4999999999999902E-2</v>
      </c>
      <c r="I246" s="124">
        <f>+I233/H233-1</f>
        <v>2.0999999999999908E-2</v>
      </c>
      <c r="J246" s="134">
        <f t="shared" si="117"/>
        <v>1.524999999999993E-2</v>
      </c>
      <c r="K246" s="124">
        <f>+K245</f>
        <v>2.5651499999999827E-2</v>
      </c>
      <c r="L246" s="122">
        <v>5.0000000000000001E-3</v>
      </c>
      <c r="M246" s="122">
        <f t="shared" si="118"/>
        <v>2.0548756218905506E-2</v>
      </c>
    </row>
    <row r="247" spans="2:13" ht="13.5" customHeight="1">
      <c r="B247" s="121" t="s">
        <v>311</v>
      </c>
      <c r="F247" s="124">
        <f>+F237/E237-1</f>
        <v>6.5549999999999997E-2</v>
      </c>
      <c r="G247" s="124">
        <f>+G237/F237-1</f>
        <v>5.922000000000005E-2</v>
      </c>
      <c r="H247" s="124">
        <f>+H237/G237-1</f>
        <v>5.8400000000000007E-2</v>
      </c>
      <c r="I247" s="124">
        <f>+I237/H237-1</f>
        <v>5.7539999999999925E-2</v>
      </c>
      <c r="J247" s="122"/>
      <c r="K247" s="124">
        <f>+K246</f>
        <v>2.5651499999999827E-2</v>
      </c>
      <c r="L247" s="122">
        <v>0.01</v>
      </c>
      <c r="M247" s="122">
        <f t="shared" si="118"/>
        <v>1.5496534653465233E-2</v>
      </c>
    </row>
    <row r="248" spans="2:13" ht="12.75" customHeight="1">
      <c r="B248" s="121" t="s">
        <v>312</v>
      </c>
      <c r="F248" s="124">
        <f>+(1+F247)/(1+F231)-1</f>
        <v>1.0000000000000009E-2</v>
      </c>
      <c r="G248" s="124">
        <f>+(1+G247)/(1+G231)-1</f>
        <v>4.0000000000000036E-3</v>
      </c>
      <c r="H248" s="124">
        <f>+(1+H247)/(1+H231)-1</f>
        <v>8.0000000000000071E-3</v>
      </c>
      <c r="I248" s="124">
        <f>+(1+I247)/(1+I231)-1</f>
        <v>1.2000000000000011E-2</v>
      </c>
      <c r="J248" s="122">
        <f t="shared" si="117"/>
        <v>8.5000000000000075E-3</v>
      </c>
      <c r="K248" s="124">
        <f>+K247</f>
        <v>2.5651499999999827E-2</v>
      </c>
      <c r="L248" s="122">
        <v>1.4999999999999999E-2</v>
      </c>
      <c r="M248" s="122">
        <f t="shared" si="118"/>
        <v>1.0494088669950719E-2</v>
      </c>
    </row>
    <row r="249" spans="2:13">
      <c r="B249" s="121" t="s">
        <v>313</v>
      </c>
      <c r="F249" s="124">
        <f>+F238/E238-1</f>
        <v>7.5610862309622107E-2</v>
      </c>
      <c r="G249" s="124">
        <f>+G238/F238-1</f>
        <v>7.4754825362748578E-2</v>
      </c>
      <c r="H249" s="124">
        <f>+H238/G238-1</f>
        <v>7.0254543451766738E-2</v>
      </c>
      <c r="I249" s="124">
        <f>+I238/H238-1</f>
        <v>6.4781498107728819E-2</v>
      </c>
      <c r="J249" s="122"/>
      <c r="K249" s="124">
        <f>+K248</f>
        <v>2.5651499999999827E-2</v>
      </c>
      <c r="L249" s="122">
        <v>0.02</v>
      </c>
      <c r="M249" s="122">
        <f t="shared" si="118"/>
        <v>5.5406862745097651E-3</v>
      </c>
    </row>
    <row r="250" spans="2:13">
      <c r="B250" s="121" t="s">
        <v>314</v>
      </c>
      <c r="F250" s="124">
        <f>+(1+F249)/(1+F231)-1</f>
        <v>1.9536362378788752E-2</v>
      </c>
      <c r="G250" s="124">
        <f>+(1+G249)/(1+G231)-1</f>
        <v>1.8724952950472717E-2</v>
      </c>
      <c r="H250" s="124">
        <f>+(1+H249)/(1+H231)-1</f>
        <v>1.9290041382634904E-2</v>
      </c>
      <c r="I250" s="124">
        <f>+(1+I249)/(1+I231)-1</f>
        <v>1.8929663260984553E-2</v>
      </c>
      <c r="J250" s="122">
        <f t="shared" si="117"/>
        <v>1.9120254993220231E-2</v>
      </c>
      <c r="K250" s="124">
        <f>+K249</f>
        <v>2.5651499999999827E-2</v>
      </c>
      <c r="L250" s="122">
        <v>2.5000000000000001E-2</v>
      </c>
      <c r="M250" s="122">
        <f t="shared" si="118"/>
        <v>6.3560975609755488E-4</v>
      </c>
    </row>
    <row r="251" spans="2:13">
      <c r="B251" s="121" t="s">
        <v>316</v>
      </c>
      <c r="E251" s="124">
        <f>+(1+E232)/(1+E231)-1</f>
        <v>2.0000000000000018E-2</v>
      </c>
      <c r="F251" s="124">
        <f>+(1+F232)/(1+F231)-1</f>
        <v>3.0000000000000027E-2</v>
      </c>
      <c r="G251" s="124">
        <f>+(1+G232)/(1+G231)-1</f>
        <v>4.0000000000000036E-2</v>
      </c>
      <c r="H251" s="124">
        <f>+(1+H232)/(1+H231)-1</f>
        <v>1.0000000000000009E-2</v>
      </c>
      <c r="I251" s="124">
        <f>+(1+I232)/(1+I231)-1</f>
        <v>2.0000000000000018E-2</v>
      </c>
      <c r="J251" s="122">
        <f>AVERAGE(E251:I251)</f>
        <v>2.4000000000000021E-2</v>
      </c>
      <c r="K251" s="124"/>
      <c r="L251" s="122"/>
      <c r="M251" s="122"/>
    </row>
    <row r="252" spans="2:13">
      <c r="B252" s="121" t="s">
        <v>318</v>
      </c>
      <c r="E252" s="60">
        <f>+E198</f>
        <v>10</v>
      </c>
      <c r="F252" s="60">
        <f>+F33</f>
        <v>11</v>
      </c>
      <c r="G252" s="60">
        <f>+G198</f>
        <v>12</v>
      </c>
      <c r="H252" s="60">
        <f>+H198</f>
        <v>13</v>
      </c>
      <c r="I252" s="60">
        <f>+I198</f>
        <v>14</v>
      </c>
      <c r="K252" s="124"/>
      <c r="L252" s="122"/>
      <c r="M252" s="122"/>
    </row>
    <row r="253" spans="2:13" ht="12.75">
      <c r="B253" s="121" t="s">
        <v>317</v>
      </c>
      <c r="E253" s="18">
        <f>+E252/E236</f>
        <v>2.6215937108596054E-2</v>
      </c>
      <c r="F253" s="18">
        <f>+F252/F236</f>
        <v>2.6822170838537007E-2</v>
      </c>
      <c r="G253" s="18">
        <f>+G252/G236</f>
        <v>2.7001488058250454E-2</v>
      </c>
      <c r="H253" s="18">
        <f>+H252/H236</f>
        <v>2.712151536764518E-2</v>
      </c>
      <c r="I253" s="18">
        <f>+I252/I236</f>
        <v>2.7157892821922297E-2</v>
      </c>
      <c r="J253" s="122">
        <f>AVERAGE(E253:I253)</f>
        <v>2.6863800838990197E-2</v>
      </c>
      <c r="K253" s="124"/>
      <c r="L253" s="122"/>
      <c r="M253" s="122"/>
    </row>
    <row r="254" spans="2:13">
      <c r="B254" s="121" t="s">
        <v>319</v>
      </c>
      <c r="E254" s="60">
        <f>+E187</f>
        <v>8.2656000000000098</v>
      </c>
      <c r="F254" s="60">
        <f>+F187</f>
        <v>5.0018299017829904</v>
      </c>
      <c r="G254" s="60">
        <f>+G187</f>
        <v>3.6412084799999991</v>
      </c>
      <c r="H254" s="60">
        <f>+H187</f>
        <v>1.9742400000000002</v>
      </c>
      <c r="I254" s="60">
        <f>+I187</f>
        <v>6.3803435183488686</v>
      </c>
      <c r="J254" s="122"/>
      <c r="K254" s="124"/>
      <c r="L254" s="122"/>
      <c r="M254" s="122"/>
    </row>
    <row r="255" spans="2:13">
      <c r="B255" s="121" t="s">
        <v>320</v>
      </c>
      <c r="D255" s="60"/>
      <c r="E255" s="60">
        <f>+E207+E209</f>
        <v>36.818769979999963</v>
      </c>
      <c r="F255" s="60">
        <f>+F207+F209</f>
        <v>24.242400000000007</v>
      </c>
      <c r="G255" s="60">
        <f>+G207+G209</f>
        <v>17.548800000000007</v>
      </c>
      <c r="H255" s="60">
        <f>+H207+H209</f>
        <v>55.529534537414072</v>
      </c>
      <c r="I255" s="60">
        <f>+I207+I209</f>
        <v>44.368501083672669</v>
      </c>
      <c r="J255" s="122"/>
      <c r="K255" s="124"/>
      <c r="L255" s="122"/>
      <c r="M255" s="122"/>
    </row>
    <row r="256" spans="2:13" ht="12.75">
      <c r="B256" s="121" t="s">
        <v>321</v>
      </c>
      <c r="E256" s="18"/>
      <c r="F256" s="18">
        <f>+F254/E255</f>
        <v>0.13584999999999986</v>
      </c>
      <c r="G256" s="18">
        <f>+G254/F255</f>
        <v>0.15019999999999992</v>
      </c>
      <c r="H256" s="18">
        <f>+H254/G255</f>
        <v>0.11249999999999996</v>
      </c>
      <c r="I256" s="18">
        <f>+I254/H255</f>
        <v>0.11489999999999985</v>
      </c>
      <c r="J256" s="122"/>
    </row>
    <row r="257" spans="2:16" ht="12.75">
      <c r="B257" s="121" t="s">
        <v>325</v>
      </c>
      <c r="E257" s="18"/>
      <c r="F257" s="18">
        <f>+F256-F232</f>
        <v>4.9199999999999966E-2</v>
      </c>
      <c r="G257" s="18">
        <f>+G256-G232</f>
        <v>5.2999999999999964E-2</v>
      </c>
      <c r="H257" s="18">
        <f>+H256-H232</f>
        <v>5.1999999999999963E-2</v>
      </c>
      <c r="I257" s="18">
        <f>+I256-I232</f>
        <v>4.9000000000000002E-2</v>
      </c>
      <c r="J257" s="122">
        <f>AVERAGE(E257:I257)</f>
        <v>5.079999999999997E-2</v>
      </c>
    </row>
    <row r="258" spans="2:16">
      <c r="B258" s="121" t="s">
        <v>340</v>
      </c>
      <c r="E258" s="124">
        <f>+E200/E180</f>
        <v>5.9346655328798147E-2</v>
      </c>
      <c r="F258" s="124">
        <f>+F200/F180</f>
        <v>5.6691024579960558E-2</v>
      </c>
      <c r="G258" s="124">
        <f>+G200/G180</f>
        <v>6.3587964822794871E-2</v>
      </c>
      <c r="H258" s="124">
        <f>+H200/H180</f>
        <v>5.9639897836926373E-2</v>
      </c>
      <c r="I258" s="124">
        <f>+I200/I180</f>
        <v>5.8704370027719686E-2</v>
      </c>
      <c r="J258" s="122">
        <f>AVERAGE(E258:I258)</f>
        <v>5.9593982519239919E-2</v>
      </c>
    </row>
    <row r="259" spans="2:16" ht="12.75">
      <c r="B259" s="121" t="s">
        <v>328</v>
      </c>
      <c r="E259" s="18">
        <f>+E199/E236</f>
        <v>0.06</v>
      </c>
      <c r="F259" s="18">
        <f>+F199/F236</f>
        <v>0.06</v>
      </c>
      <c r="G259" s="18">
        <f>+G199/G236</f>
        <v>0.04</v>
      </c>
      <c r="H259" s="18">
        <f>+H199/H236</f>
        <v>7.0000000000000007E-2</v>
      </c>
      <c r="I259" s="18">
        <f>+I199/I236</f>
        <v>0.03</v>
      </c>
      <c r="J259" s="122">
        <f>AVERAGE(E259:I259)</f>
        <v>5.2000000000000005E-2</v>
      </c>
    </row>
    <row r="260" spans="2:16">
      <c r="B260" s="121" t="s">
        <v>332</v>
      </c>
      <c r="E260" s="127"/>
      <c r="F260" s="127">
        <f>+F200-E200+F181</f>
        <v>289.8418615726668</v>
      </c>
      <c r="G260" s="127">
        <f>+G200-F200+G181</f>
        <v>317.55720714622652</v>
      </c>
      <c r="H260" s="127">
        <f>+H200-G200+H181</f>
        <v>335.0816111146811</v>
      </c>
      <c r="I260" s="127">
        <f>+I200-H200+I181</f>
        <v>360.53544403478577</v>
      </c>
      <c r="J260" s="122"/>
      <c r="K260" s="114" t="s">
        <v>330</v>
      </c>
      <c r="M260" s="114" t="s">
        <v>331</v>
      </c>
    </row>
    <row r="261" spans="2:16" ht="12.75">
      <c r="B261" s="133" t="s">
        <v>335</v>
      </c>
      <c r="E261" s="18"/>
      <c r="F261" s="18">
        <f>+F206/F260</f>
        <v>0.10999999999999989</v>
      </c>
      <c r="G261" s="18">
        <f>+G206/G260</f>
        <v>0.12</v>
      </c>
      <c r="H261" s="18">
        <f>+H206/H260</f>
        <v>7.0000000000000076E-2</v>
      </c>
      <c r="I261" s="18">
        <f>+I206/I260</f>
        <v>7.9999999999999891E-2</v>
      </c>
      <c r="J261" s="122">
        <f>AVERAGE(E261:I261)</f>
        <v>9.4999999999999959E-2</v>
      </c>
    </row>
    <row r="262" spans="2:16" ht="12.75">
      <c r="B262" s="37" t="s">
        <v>283</v>
      </c>
      <c r="E262" s="60">
        <f>+D212-E212+E191</f>
        <v>0</v>
      </c>
      <c r="F262" s="60">
        <f>+E212-F212+F191</f>
        <v>7.3133165664000437</v>
      </c>
      <c r="G262" s="60">
        <f>+F212-G212+G191</f>
        <v>10.989210041969407</v>
      </c>
      <c r="H262" s="60">
        <f>+G212-H212+H191</f>
        <v>15.275551220191034</v>
      </c>
      <c r="I262" s="60">
        <f>+H212-I212+I191</f>
        <v>16.892311884436303</v>
      </c>
      <c r="J262" s="122"/>
    </row>
    <row r="263" spans="2:16">
      <c r="B263" s="115" t="s">
        <v>329</v>
      </c>
      <c r="E263" s="116"/>
      <c r="F263" s="116">
        <f>+F262/E191</f>
        <v>0.72000000000000008</v>
      </c>
      <c r="G263" s="116">
        <f>+G262/F191</f>
        <v>0.72999999999999976</v>
      </c>
      <c r="H263" s="116">
        <f>+H262/G191</f>
        <v>0.77</v>
      </c>
      <c r="I263" s="116">
        <f>+I262/H191</f>
        <v>0.65000000000000024</v>
      </c>
      <c r="J263" s="116">
        <f>AVERAGE(F263:I263)</f>
        <v>0.71750000000000003</v>
      </c>
    </row>
    <row r="264" spans="2:16" ht="12.75">
      <c r="B264" s="121" t="s">
        <v>322</v>
      </c>
      <c r="E264" s="30">
        <f>+E188</f>
        <v>0</v>
      </c>
      <c r="F264" s="30">
        <f>+F188</f>
        <v>0</v>
      </c>
      <c r="G264" s="30">
        <f>+G188</f>
        <v>0.70795275002863511</v>
      </c>
      <c r="H264" s="30">
        <f>+H188</f>
        <v>1.615970244565146</v>
      </c>
      <c r="I264" s="30">
        <f>+I188</f>
        <v>3.3362645979195727E-16</v>
      </c>
      <c r="J264" s="122"/>
    </row>
    <row r="265" spans="2:16">
      <c r="B265" s="121" t="s">
        <v>323</v>
      </c>
      <c r="D265" s="60">
        <f t="shared" ref="D265:I265" si="119">+D201</f>
        <v>0</v>
      </c>
      <c r="E265" s="60">
        <f t="shared" si="119"/>
        <v>0</v>
      </c>
      <c r="F265" s="60">
        <f t="shared" si="119"/>
        <v>7.6668047436499407</v>
      </c>
      <c r="G265" s="60">
        <f t="shared" si="119"/>
        <v>28.116054711877268</v>
      </c>
      <c r="H265" s="60">
        <f t="shared" si="119"/>
        <v>0</v>
      </c>
      <c r="I265" s="60">
        <f t="shared" si="119"/>
        <v>31.123749347172151</v>
      </c>
      <c r="J265" s="122"/>
      <c r="P265" s="124">
        <f>13/479.3</f>
        <v>2.7122887544335488E-2</v>
      </c>
    </row>
    <row r="266" spans="2:16">
      <c r="B266" s="121" t="s">
        <v>324</v>
      </c>
      <c r="D266" s="60"/>
      <c r="E266" s="124" t="str">
        <f>IF(D265&lt;=0,"NC",E264/D265)</f>
        <v>NC</v>
      </c>
      <c r="F266" s="124" t="str">
        <f>IF(E265&lt;=0,"NC",F264/E265)</f>
        <v>NC</v>
      </c>
      <c r="G266" s="124">
        <f>IF(F265&lt;=0,"NC",G264/F265)</f>
        <v>9.233999999999995E-2</v>
      </c>
      <c r="H266" s="124">
        <f>IF(G265&lt;=0,"NC",H264/G265)</f>
        <v>5.7474999999999998E-2</v>
      </c>
      <c r="I266" s="124" t="str">
        <f>IF(H265&lt;=0,"NC",I264/H265)</f>
        <v>NC</v>
      </c>
      <c r="J266" s="122"/>
    </row>
    <row r="267" spans="2:16" ht="12.75">
      <c r="B267" s="121" t="s">
        <v>326</v>
      </c>
      <c r="E267" s="18" t="str">
        <f>IF(E266="NC","NC",E266-E232)</f>
        <v>NC</v>
      </c>
      <c r="F267" s="18" t="str">
        <f>IF(F266="NC","NC",F266-F232)</f>
        <v>NC</v>
      </c>
      <c r="G267" s="18">
        <f>IF(G266="NC","NC",G266-G232)</f>
        <v>-4.8600000000000032E-3</v>
      </c>
      <c r="H267" s="18">
        <f>IF(H266="NC","NC",H266-H232)</f>
        <v>-3.0249999999999999E-3</v>
      </c>
      <c r="I267" s="18" t="str">
        <f>IF(I266="NC","NC",I266-I232)</f>
        <v>NC</v>
      </c>
      <c r="J267" s="122">
        <f>AVERAGE(E267:I267)</f>
        <v>-3.9425000000000016E-3</v>
      </c>
    </row>
    <row r="268" spans="2:16" ht="12.75">
      <c r="B268" s="121" t="s">
        <v>334</v>
      </c>
      <c r="E268" s="18">
        <f>+E190/E189</f>
        <v>0.35</v>
      </c>
      <c r="F268" s="18">
        <f>+F190/F189</f>
        <v>0.35</v>
      </c>
      <c r="G268" s="18">
        <f>+G190/G189</f>
        <v>0.35</v>
      </c>
      <c r="H268" s="18">
        <f>+H190/H189</f>
        <v>0.35</v>
      </c>
      <c r="I268" s="18">
        <f>+I190/I189</f>
        <v>0.35</v>
      </c>
      <c r="J268" s="122">
        <f>AVERAGE(E268:I268)</f>
        <v>0.35</v>
      </c>
    </row>
    <row r="269" spans="2:16">
      <c r="B269" s="121" t="s">
        <v>298</v>
      </c>
    </row>
    <row r="270" spans="2:16">
      <c r="B270" s="121" t="s">
        <v>299</v>
      </c>
      <c r="J270" s="116">
        <f>+J17</f>
        <v>0.04</v>
      </c>
      <c r="K270" s="116">
        <f>+K17</f>
        <v>3.5000000000000003E-2</v>
      </c>
      <c r="L270" s="116">
        <f>+L17</f>
        <v>0.03</v>
      </c>
      <c r="M270" s="116">
        <f>+M17</f>
        <v>0.03</v>
      </c>
      <c r="N270" s="116">
        <f>+N17</f>
        <v>0.03</v>
      </c>
    </row>
    <row r="271" spans="2:16">
      <c r="B271" s="121" t="s">
        <v>300</v>
      </c>
      <c r="J271" s="124">
        <f>+(1+$J$240)*(1+J270)-1</f>
        <v>5.0660000000000149E-2</v>
      </c>
      <c r="K271" s="124">
        <f>+(1+$J$240)*(1+K270)-1</f>
        <v>4.5608749999999976E-2</v>
      </c>
      <c r="L271" s="124">
        <f>+(1+$J$240)*(1+L270)-1</f>
        <v>4.0557500000000024E-2</v>
      </c>
      <c r="M271" s="124">
        <f>+(1+$J$240)*(1+M270)-1</f>
        <v>4.0557500000000024E-2</v>
      </c>
      <c r="N271" s="124">
        <f>+(1+$J$240)*(1+N270)-1</f>
        <v>4.0557500000000024E-2</v>
      </c>
    </row>
    <row r="272" spans="2:16">
      <c r="B272" s="121" t="s">
        <v>293</v>
      </c>
      <c r="J272" s="124">
        <f>+(1+$J$242)*(1+J270)-1</f>
        <v>4.5720000000000205E-2</v>
      </c>
      <c r="K272" s="124">
        <f>+(1+$J$242)*(1+K270)-1</f>
        <v>4.069250000000002E-2</v>
      </c>
      <c r="L272" s="124">
        <f>+(1+$J$242)*(1+L270)-1</f>
        <v>3.5665000000000058E-2</v>
      </c>
      <c r="M272" s="124">
        <f>+(1+$J$242)*(1+M270)-1</f>
        <v>3.5665000000000058E-2</v>
      </c>
      <c r="N272" s="124">
        <f>+(1+$J$242)*(1+N270)-1</f>
        <v>3.5665000000000058E-2</v>
      </c>
    </row>
    <row r="273" spans="2:14">
      <c r="B273" s="121" t="s">
        <v>301</v>
      </c>
      <c r="J273" s="124">
        <f>+(1+$J$244)*(1+J270)-1</f>
        <v>6.6677560000000025E-2</v>
      </c>
      <c r="K273" s="124">
        <f>+(1+$J$244)*(1+K270)-1</f>
        <v>6.1549302499999792E-2</v>
      </c>
      <c r="L273" s="124">
        <f>+(1+$J$244)*(1+L270)-1</f>
        <v>5.6421045000000003E-2</v>
      </c>
      <c r="M273" s="124">
        <f>+(1+$J$244)*(1+M270)-1</f>
        <v>5.6421045000000003E-2</v>
      </c>
      <c r="N273" s="124">
        <f>+(1+$J$244)*(1+N270)-1</f>
        <v>5.6421045000000003E-2</v>
      </c>
    </row>
    <row r="276" spans="2:14" ht="12.75">
      <c r="B276" s="121" t="s">
        <v>303</v>
      </c>
      <c r="J276" s="135"/>
      <c r="K276" s="135"/>
      <c r="L276" s="136"/>
      <c r="M276" s="136"/>
      <c r="N276" s="136"/>
    </row>
    <row r="277" spans="2:14">
      <c r="B277" s="121" t="s">
        <v>302</v>
      </c>
      <c r="I277" s="60">
        <f>+I234</f>
        <v>9.5145558590014865</v>
      </c>
      <c r="J277" s="120">
        <f t="shared" ref="J277:N278" si="120">+I277*(1+J271)</f>
        <v>9.9965632588185027</v>
      </c>
      <c r="K277" s="120">
        <f t="shared" si="120"/>
        <v>10.45249401334914</v>
      </c>
      <c r="L277" s="120">
        <f t="shared" si="120"/>
        <v>10.876421039295549</v>
      </c>
      <c r="M277" s="120">
        <f t="shared" si="120"/>
        <v>11.317541485596777</v>
      </c>
      <c r="N277" s="120">
        <f t="shared" si="120"/>
        <v>11.776552674398868</v>
      </c>
    </row>
    <row r="278" spans="2:14">
      <c r="B278" s="121" t="s">
        <v>290</v>
      </c>
      <c r="I278" s="123">
        <f>+I235</f>
        <v>6.6493572356694228</v>
      </c>
      <c r="J278" s="120">
        <f t="shared" si="120"/>
        <v>6.9533658484842302</v>
      </c>
      <c r="K278" s="120">
        <f t="shared" si="120"/>
        <v>7.2363156882736748</v>
      </c>
      <c r="L278" s="120">
        <f t="shared" si="120"/>
        <v>7.4943988872959562</v>
      </c>
      <c r="M278" s="120">
        <f t="shared" si="120"/>
        <v>7.7616866236113671</v>
      </c>
      <c r="N278" s="120">
        <f t="shared" si="120"/>
        <v>8.038507177042467</v>
      </c>
    </row>
    <row r="279" spans="2:14">
      <c r="B279" s="121" t="s">
        <v>304</v>
      </c>
      <c r="I279" s="60">
        <f>+I233</f>
        <v>54.180554505839979</v>
      </c>
      <c r="J279" s="120">
        <f>+I279*(1+$J$246)</f>
        <v>55.00680796205404</v>
      </c>
      <c r="K279" s="120">
        <f>+J279*(1+$J$246)</f>
        <v>55.845661783475364</v>
      </c>
      <c r="L279" s="120">
        <f>+K279*(1+$J$246)</f>
        <v>56.697308125673366</v>
      </c>
      <c r="M279" s="120">
        <f>+L279*(1+$J$246)</f>
        <v>57.561942074589886</v>
      </c>
      <c r="N279" s="120">
        <f>+M279*(1+$J$246)</f>
        <v>58.439761691227382</v>
      </c>
    </row>
    <row r="280" spans="2:14">
      <c r="B280" s="121" t="s">
        <v>305</v>
      </c>
      <c r="J280" s="125">
        <f>+J279*J277</f>
        <v>549.87903545835445</v>
      </c>
      <c r="K280" s="125">
        <f>+K279*K277</f>
        <v>583.72644546329707</v>
      </c>
      <c r="L280" s="125">
        <f>+L279*L277</f>
        <v>616.66379496949628</v>
      </c>
      <c r="M280" s="125">
        <f>+M279*M277</f>
        <v>651.4596674206897</v>
      </c>
      <c r="N280" s="125">
        <f>+N279*N277</f>
        <v>688.2189318360563</v>
      </c>
    </row>
    <row r="281" spans="2:14">
      <c r="B281" s="121" t="s">
        <v>301</v>
      </c>
      <c r="J281" s="124">
        <f>+(1+$J$244)*(1+J270)-1</f>
        <v>6.6677560000000025E-2</v>
      </c>
      <c r="K281" s="124">
        <f>+(1+$J$244)*(1+K270)-1</f>
        <v>6.1549302499999792E-2</v>
      </c>
      <c r="L281" s="124">
        <f>+(1+$J$244)*(1+L270)-1</f>
        <v>5.6421045000000003E-2</v>
      </c>
      <c r="M281" s="124">
        <f>+(1+$J$244)*(1+M270)-1</f>
        <v>5.6421045000000003E-2</v>
      </c>
      <c r="N281" s="124">
        <f>+(1+$J$244)*(1+N270)-1</f>
        <v>5.6421045000000003E-2</v>
      </c>
    </row>
    <row r="282" spans="2:14">
      <c r="B282" s="121" t="s">
        <v>306</v>
      </c>
      <c r="J282" s="125">
        <f>+I236*(1+$J$244)*(1+J270)</f>
        <v>549.8764553612732</v>
      </c>
      <c r="K282" s="125">
        <f>+J282*(1+$J$244)*(1+K270)</f>
        <v>583.72096764993194</v>
      </c>
      <c r="L282" s="125">
        <f>+K282*(1+$J$244)*(1+L270)</f>
        <v>616.65511463315227</v>
      </c>
      <c r="M282" s="125">
        <f>+L282*(1+$J$244)*(1+M270)</f>
        <v>651.44744060534947</v>
      </c>
      <c r="N282" s="125">
        <f>+M282*(1+$J$244)*(1+N270)</f>
        <v>688.20278596687876</v>
      </c>
    </row>
    <row r="283" spans="2:14" ht="13.5" customHeight="1">
      <c r="B283" s="121" t="s">
        <v>307</v>
      </c>
      <c r="I283" s="60">
        <f>+I180</f>
        <v>515.50391231748915</v>
      </c>
      <c r="J283" s="125">
        <f>+I283*(1+$J$244)*(1+J270)</f>
        <v>549.8764553612732</v>
      </c>
      <c r="K283" s="125">
        <f>+J283*(1+$J$244)*(1+K270)</f>
        <v>583.72096764993194</v>
      </c>
      <c r="L283" s="125">
        <f>+K283*(1+$J$244)*(1+L270)</f>
        <v>616.65511463315227</v>
      </c>
      <c r="M283" s="125">
        <f>+L283*(1+$J$244)*(1+M270)</f>
        <v>651.44744060534947</v>
      </c>
      <c r="N283" s="125">
        <f>+M283*(1+$J$244)*(1+N270)</f>
        <v>688.20278596687876</v>
      </c>
    </row>
    <row r="284" spans="2:14">
      <c r="B284" s="121" t="s">
        <v>308</v>
      </c>
      <c r="J284" s="124">
        <f>+J282/J280-1</f>
        <v>-4.6921175655967318E-6</v>
      </c>
      <c r="K284" s="124">
        <f>+K282/K280-1</f>
        <v>-9.384213115026796E-6</v>
      </c>
      <c r="L284" s="124">
        <f>+L282/L280-1</f>
        <v>-1.4076286648956327E-5</v>
      </c>
      <c r="M284" s="124">
        <f>+M282/M280-1</f>
        <v>-1.8768338166830212E-5</v>
      </c>
      <c r="N284" s="124">
        <f>+N282/N280-1</f>
        <v>-2.3460367668870497E-5</v>
      </c>
    </row>
    <row r="285" spans="2:14">
      <c r="B285" s="121" t="s">
        <v>309</v>
      </c>
      <c r="J285" s="124">
        <f>+J283/J280-1</f>
        <v>-4.6921175655967318E-6</v>
      </c>
      <c r="K285" s="124">
        <f>+K283/K280-1</f>
        <v>-9.384213115026796E-6</v>
      </c>
      <c r="L285" s="124">
        <f>+L283/L280-1</f>
        <v>-1.4076286648956327E-5</v>
      </c>
      <c r="M285" s="124">
        <f>+M283/M280-1</f>
        <v>-1.8768338166830212E-5</v>
      </c>
      <c r="N285" s="124">
        <f>+N283/N280-1</f>
        <v>-2.3460367668870497E-5</v>
      </c>
    </row>
    <row r="286" spans="2:14">
      <c r="B286" s="58" t="s">
        <v>37</v>
      </c>
      <c r="J286" s="137">
        <f>+J282*(1-$J$245)</f>
        <v>386.20909321572771</v>
      </c>
      <c r="K286" s="137">
        <f>+K282*(1-$J$245)</f>
        <v>409.97999352231324</v>
      </c>
      <c r="L286" s="137">
        <f>+L282*(1-$J$245)</f>
        <v>433.11149318593533</v>
      </c>
      <c r="M286" s="137">
        <f>+M282*(1-$J$245)</f>
        <v>457.54809623299616</v>
      </c>
      <c r="N286" s="137">
        <f>+N282*(1-$J$245)</f>
        <v>483.36343796022237</v>
      </c>
    </row>
    <row r="288" spans="2:14">
      <c r="B288" s="121"/>
      <c r="E288" s="60">
        <f>+E207</f>
        <v>5.8827699799999564</v>
      </c>
      <c r="F288" s="60">
        <f>+F207</f>
        <v>0</v>
      </c>
      <c r="G288" s="60">
        <f>+G207</f>
        <v>0</v>
      </c>
      <c r="H288" s="60">
        <f>+H207</f>
        <v>0</v>
      </c>
      <c r="I288" s="60">
        <f>+I207</f>
        <v>0</v>
      </c>
    </row>
    <row r="289" spans="2:19">
      <c r="B289" s="121"/>
      <c r="E289" s="60">
        <f>+E209</f>
        <v>30.936000000000007</v>
      </c>
      <c r="F289" s="60">
        <f>+F209</f>
        <v>24.242400000000007</v>
      </c>
      <c r="G289" s="60">
        <f>+G209</f>
        <v>17.548800000000007</v>
      </c>
      <c r="H289" s="60">
        <f>+H209</f>
        <v>55.529534537414072</v>
      </c>
      <c r="I289" s="60">
        <f>+I209</f>
        <v>44.368501083672669</v>
      </c>
    </row>
    <row r="290" spans="2:19">
      <c r="B290" s="121"/>
      <c r="F290" s="60">
        <f>+E289-F289</f>
        <v>6.6936</v>
      </c>
      <c r="G290" s="60">
        <f>+F289-G289</f>
        <v>6.6936</v>
      </c>
      <c r="H290" s="60">
        <f>+G289-H289</f>
        <v>-37.980734537414065</v>
      </c>
      <c r="I290" s="60">
        <f>+H289-I289</f>
        <v>11.161033453741403</v>
      </c>
    </row>
    <row r="291" spans="2:19">
      <c r="B291" s="121" t="s">
        <v>338</v>
      </c>
      <c r="E291">
        <f>+E2</f>
        <v>1</v>
      </c>
      <c r="F291">
        <f t="shared" ref="F291:N291" si="121">+F2</f>
        <v>2</v>
      </c>
      <c r="G291">
        <f t="shared" si="121"/>
        <v>3</v>
      </c>
      <c r="H291">
        <f t="shared" si="121"/>
        <v>4</v>
      </c>
      <c r="I291">
        <f t="shared" si="121"/>
        <v>5</v>
      </c>
      <c r="J291">
        <f t="shared" si="121"/>
        <v>6</v>
      </c>
      <c r="K291">
        <f t="shared" si="121"/>
        <v>7</v>
      </c>
      <c r="L291">
        <f t="shared" si="121"/>
        <v>8</v>
      </c>
      <c r="M291">
        <f t="shared" si="121"/>
        <v>9</v>
      </c>
      <c r="N291">
        <f t="shared" si="121"/>
        <v>10</v>
      </c>
      <c r="O291">
        <v>11</v>
      </c>
    </row>
    <row r="292" spans="2:19">
      <c r="B292" s="58" t="s">
        <v>54</v>
      </c>
      <c r="C292" s="58">
        <f t="shared" ref="C292:H295" si="122">+C171</f>
        <v>0</v>
      </c>
      <c r="D292" s="58">
        <f t="shared" si="122"/>
        <v>0</v>
      </c>
      <c r="E292" s="139">
        <f t="shared" si="122"/>
        <v>0</v>
      </c>
      <c r="F292" s="139">
        <f t="shared" si="122"/>
        <v>6.9360000000000053</v>
      </c>
      <c r="G292" s="139">
        <f t="shared" si="122"/>
        <v>6.2424000000000044</v>
      </c>
      <c r="H292" s="139">
        <f t="shared" si="122"/>
        <v>5.5488000000000035</v>
      </c>
      <c r="I292" s="139">
        <f t="shared" ref="I292:O292" si="123">+H296</f>
        <v>4.8552000000000026</v>
      </c>
      <c r="J292" s="139">
        <f t="shared" si="123"/>
        <v>4.1616000000000017</v>
      </c>
      <c r="K292" s="139">
        <f t="shared" si="123"/>
        <v>3.4680000000000013</v>
      </c>
      <c r="L292" s="139">
        <f t="shared" si="123"/>
        <v>2.7744000000000009</v>
      </c>
      <c r="M292" s="139">
        <f t="shared" si="123"/>
        <v>2.0808000000000004</v>
      </c>
      <c r="N292" s="139">
        <f t="shared" si="123"/>
        <v>1.3872</v>
      </c>
      <c r="O292" s="139">
        <f t="shared" si="123"/>
        <v>0.69359999999999944</v>
      </c>
    </row>
    <row r="293" spans="2:19">
      <c r="B293" s="58" t="s">
        <v>62</v>
      </c>
      <c r="C293" s="58">
        <f t="shared" si="122"/>
        <v>0</v>
      </c>
      <c r="D293" s="58">
        <f t="shared" si="122"/>
        <v>0</v>
      </c>
      <c r="E293" s="139">
        <f t="shared" si="122"/>
        <v>0</v>
      </c>
      <c r="F293" s="139">
        <f t="shared" si="122"/>
        <v>0.94225559999999997</v>
      </c>
      <c r="G293" s="139">
        <f t="shared" si="122"/>
        <v>0.9376084800000003</v>
      </c>
      <c r="H293" s="139">
        <f t="shared" si="122"/>
        <v>0.62424000000000035</v>
      </c>
      <c r="I293" s="139">
        <f>+I292*I297</f>
        <v>0.55786247999999961</v>
      </c>
      <c r="J293" s="139">
        <f t="shared" ref="J293:O293" si="124">+J292*J297</f>
        <v>0.48174681600000063</v>
      </c>
      <c r="K293" s="139">
        <f t="shared" si="124"/>
        <v>0.36934199999999956</v>
      </c>
      <c r="L293" s="139">
        <f t="shared" si="124"/>
        <v>0.28132415999999993</v>
      </c>
      <c r="M293" s="139">
        <f t="shared" si="124"/>
        <v>0.21099311999999992</v>
      </c>
      <c r="N293" s="139">
        <f t="shared" si="124"/>
        <v>0.14066207999999994</v>
      </c>
      <c r="O293" s="139">
        <f t="shared" si="124"/>
        <v>7.0331039999999914E-2</v>
      </c>
    </row>
    <row r="294" spans="2:19">
      <c r="B294" s="58" t="s">
        <v>69</v>
      </c>
      <c r="C294" s="58">
        <f t="shared" si="122"/>
        <v>0</v>
      </c>
      <c r="D294" s="58">
        <f t="shared" si="122"/>
        <v>0</v>
      </c>
      <c r="E294" s="139">
        <f t="shared" si="122"/>
        <v>0</v>
      </c>
      <c r="F294" s="139">
        <f t="shared" si="122"/>
        <v>0.69360000000000055</v>
      </c>
      <c r="G294" s="139">
        <f t="shared" si="122"/>
        <v>0.69360000000000055</v>
      </c>
      <c r="H294" s="139">
        <f t="shared" si="122"/>
        <v>0.69360000000000055</v>
      </c>
      <c r="I294" s="139">
        <f t="shared" ref="I294:O294" si="125">+H294</f>
        <v>0.69360000000000055</v>
      </c>
      <c r="J294" s="139">
        <f t="shared" si="125"/>
        <v>0.69360000000000055</v>
      </c>
      <c r="K294" s="139">
        <f t="shared" si="125"/>
        <v>0.69360000000000055</v>
      </c>
      <c r="L294" s="139">
        <f t="shared" si="125"/>
        <v>0.69360000000000055</v>
      </c>
      <c r="M294" s="139">
        <f t="shared" si="125"/>
        <v>0.69360000000000055</v>
      </c>
      <c r="N294" s="139">
        <f t="shared" si="125"/>
        <v>0.69360000000000055</v>
      </c>
      <c r="O294" s="139">
        <f t="shared" si="125"/>
        <v>0.69360000000000055</v>
      </c>
    </row>
    <row r="295" spans="2:19">
      <c r="B295" s="58" t="s">
        <v>63</v>
      </c>
      <c r="C295" s="58">
        <f t="shared" si="122"/>
        <v>0</v>
      </c>
      <c r="D295" s="58">
        <f t="shared" si="122"/>
        <v>0</v>
      </c>
      <c r="E295" s="139">
        <f t="shared" si="122"/>
        <v>0</v>
      </c>
      <c r="F295" s="139">
        <f t="shared" si="122"/>
        <v>1.6358556000000006</v>
      </c>
      <c r="G295" s="139">
        <f t="shared" si="122"/>
        <v>1.6312084800000008</v>
      </c>
      <c r="H295" s="139">
        <f t="shared" si="122"/>
        <v>1.3178400000000008</v>
      </c>
      <c r="I295" s="139">
        <f>+I294+I293</f>
        <v>1.2514624800000003</v>
      </c>
      <c r="J295" s="139">
        <f t="shared" ref="J295:O295" si="126">+J294+J293</f>
        <v>1.1753468160000011</v>
      </c>
      <c r="K295" s="139">
        <f t="shared" si="126"/>
        <v>1.0629420000000001</v>
      </c>
      <c r="L295" s="139">
        <f t="shared" si="126"/>
        <v>0.97492416000000048</v>
      </c>
      <c r="M295" s="139">
        <f t="shared" si="126"/>
        <v>0.90459312000000047</v>
      </c>
      <c r="N295" s="139">
        <f t="shared" si="126"/>
        <v>0.83426208000000046</v>
      </c>
      <c r="O295" s="139">
        <f t="shared" si="126"/>
        <v>0.76393104000000045</v>
      </c>
    </row>
    <row r="296" spans="2:19">
      <c r="B296" s="58" t="s">
        <v>57</v>
      </c>
      <c r="C296" s="58">
        <f t="shared" ref="C296:N297" si="127">+C176</f>
        <v>0</v>
      </c>
      <c r="D296" s="58">
        <f t="shared" si="127"/>
        <v>0</v>
      </c>
      <c r="E296" s="139">
        <f t="shared" si="127"/>
        <v>6.9360000000000053</v>
      </c>
      <c r="F296" s="139">
        <f t="shared" si="127"/>
        <v>6.2424000000000044</v>
      </c>
      <c r="G296" s="139">
        <f t="shared" si="127"/>
        <v>5.5488000000000035</v>
      </c>
      <c r="H296" s="139">
        <f>+H292-H294</f>
        <v>4.8552000000000026</v>
      </c>
      <c r="I296" s="139">
        <f t="shared" ref="I296:N296" si="128">+I292-I294</f>
        <v>4.1616000000000017</v>
      </c>
      <c r="J296" s="139">
        <f t="shared" si="128"/>
        <v>3.4680000000000013</v>
      </c>
      <c r="K296" s="139">
        <f t="shared" si="128"/>
        <v>2.7744000000000009</v>
      </c>
      <c r="L296" s="139">
        <f t="shared" si="128"/>
        <v>2.0808000000000004</v>
      </c>
      <c r="M296" s="139">
        <f t="shared" si="128"/>
        <v>1.3872</v>
      </c>
      <c r="N296" s="139">
        <f t="shared" si="128"/>
        <v>0.69359999999999944</v>
      </c>
      <c r="O296" s="139">
        <f>+O292-O294</f>
        <v>-1.1102230246251565E-15</v>
      </c>
    </row>
    <row r="297" spans="2:19">
      <c r="B297" s="58" t="s">
        <v>58</v>
      </c>
      <c r="C297" s="58">
        <f t="shared" si="127"/>
        <v>0</v>
      </c>
      <c r="D297" s="58">
        <f t="shared" si="127"/>
        <v>0</v>
      </c>
      <c r="E297" s="141">
        <f t="shared" si="127"/>
        <v>0.13120000000000015</v>
      </c>
      <c r="F297" s="141">
        <f t="shared" si="127"/>
        <v>0.13584999999999989</v>
      </c>
      <c r="G297" s="141">
        <f t="shared" si="127"/>
        <v>0.15019999999999994</v>
      </c>
      <c r="H297" s="141">
        <f t="shared" si="127"/>
        <v>0.11249999999999999</v>
      </c>
      <c r="I297" s="141">
        <f t="shared" si="127"/>
        <v>0.11489999999999985</v>
      </c>
      <c r="J297" s="141">
        <f t="shared" si="127"/>
        <v>0.1157600000000001</v>
      </c>
      <c r="K297" s="141">
        <f t="shared" si="127"/>
        <v>0.10649999999999983</v>
      </c>
      <c r="L297" s="141">
        <f t="shared" si="127"/>
        <v>0.10139999999999995</v>
      </c>
      <c r="M297" s="141">
        <f t="shared" si="127"/>
        <v>0.10139999999999995</v>
      </c>
      <c r="N297" s="141">
        <f t="shared" si="127"/>
        <v>0.10139999999999995</v>
      </c>
      <c r="O297" s="141">
        <f>+N297</f>
        <v>0.10139999999999995</v>
      </c>
    </row>
    <row r="299" spans="2:19">
      <c r="B299" s="58" t="s">
        <v>338</v>
      </c>
      <c r="H299">
        <f>+H2</f>
        <v>4</v>
      </c>
      <c r="I299">
        <f t="shared" ref="I299:N299" si="129">+I2</f>
        <v>5</v>
      </c>
      <c r="J299">
        <f t="shared" si="129"/>
        <v>6</v>
      </c>
      <c r="K299">
        <f t="shared" si="129"/>
        <v>7</v>
      </c>
      <c r="L299">
        <f t="shared" si="129"/>
        <v>8</v>
      </c>
      <c r="M299">
        <f t="shared" si="129"/>
        <v>9</v>
      </c>
      <c r="N299">
        <f t="shared" si="129"/>
        <v>10</v>
      </c>
      <c r="O299">
        <f>+N299+1</f>
        <v>11</v>
      </c>
      <c r="P299">
        <f>+O299+1</f>
        <v>12</v>
      </c>
      <c r="Q299">
        <f>+P299+1</f>
        <v>13</v>
      </c>
      <c r="R299">
        <f>+Q299+1</f>
        <v>14</v>
      </c>
    </row>
    <row r="300" spans="2:19">
      <c r="B300" s="58" t="s">
        <v>54</v>
      </c>
      <c r="H300" s="120"/>
      <c r="I300" s="120">
        <f>+H304</f>
        <v>44.674334537414069</v>
      </c>
      <c r="J300" s="120">
        <f t="shared" ref="J300:R300" si="130">+I304</f>
        <v>40.206901083672662</v>
      </c>
      <c r="K300" s="120">
        <f t="shared" si="130"/>
        <v>35.739467629931255</v>
      </c>
      <c r="L300" s="120">
        <f t="shared" si="130"/>
        <v>31.272034176189848</v>
      </c>
      <c r="M300" s="120">
        <f t="shared" si="130"/>
        <v>26.804600722448441</v>
      </c>
      <c r="N300" s="120">
        <f t="shared" si="130"/>
        <v>22.337167268707034</v>
      </c>
      <c r="O300" s="120">
        <f t="shared" si="130"/>
        <v>17.869733814965628</v>
      </c>
      <c r="P300" s="120">
        <f t="shared" si="130"/>
        <v>13.402300361224221</v>
      </c>
      <c r="Q300" s="120">
        <f t="shared" si="130"/>
        <v>8.9348669074828138</v>
      </c>
      <c r="R300" s="120">
        <f t="shared" si="130"/>
        <v>4.4674334537414069</v>
      </c>
      <c r="S300" s="140"/>
    </row>
    <row r="301" spans="2:19">
      <c r="B301" s="58" t="s">
        <v>62</v>
      </c>
      <c r="H301" s="120"/>
      <c r="I301" s="120">
        <f>+I300*I305</f>
        <v>5.1330810383488696</v>
      </c>
      <c r="J301" s="120">
        <f t="shared" ref="J301:R301" si="131">+J300*J305</f>
        <v>4.6543508694459517</v>
      </c>
      <c r="K301" s="120">
        <f t="shared" si="131"/>
        <v>3.8062533025876726</v>
      </c>
      <c r="L301" s="120">
        <f t="shared" si="131"/>
        <v>3.1709842654656488</v>
      </c>
      <c r="M301" s="120">
        <f t="shared" si="131"/>
        <v>2.7179865132562706</v>
      </c>
      <c r="N301" s="120">
        <f t="shared" si="131"/>
        <v>2.264988761046892</v>
      </c>
      <c r="O301" s="120">
        <f t="shared" si="131"/>
        <v>1.8119910088375137</v>
      </c>
      <c r="P301" s="120">
        <f t="shared" si="131"/>
        <v>1.3589932566281353</v>
      </c>
      <c r="Q301" s="120">
        <f t="shared" si="131"/>
        <v>0.90599550441875687</v>
      </c>
      <c r="R301" s="120">
        <f t="shared" si="131"/>
        <v>0.45299775220937843</v>
      </c>
    </row>
    <row r="302" spans="2:19">
      <c r="B302" s="58" t="s">
        <v>69</v>
      </c>
      <c r="H302" s="120"/>
      <c r="I302" s="120">
        <f>+$H$304/10</f>
        <v>4.4674334537414069</v>
      </c>
      <c r="J302" s="120">
        <f t="shared" ref="J302:R302" si="132">+$H$304/10</f>
        <v>4.4674334537414069</v>
      </c>
      <c r="K302" s="120">
        <f t="shared" si="132"/>
        <v>4.4674334537414069</v>
      </c>
      <c r="L302" s="120">
        <f t="shared" si="132"/>
        <v>4.4674334537414069</v>
      </c>
      <c r="M302" s="120">
        <f t="shared" si="132"/>
        <v>4.4674334537414069</v>
      </c>
      <c r="N302" s="120">
        <f t="shared" si="132"/>
        <v>4.4674334537414069</v>
      </c>
      <c r="O302" s="120">
        <f t="shared" si="132"/>
        <v>4.4674334537414069</v>
      </c>
      <c r="P302" s="120">
        <f t="shared" si="132"/>
        <v>4.4674334537414069</v>
      </c>
      <c r="Q302" s="120">
        <f t="shared" si="132"/>
        <v>4.4674334537414069</v>
      </c>
      <c r="R302" s="120">
        <f t="shared" si="132"/>
        <v>4.4674334537414069</v>
      </c>
    </row>
    <row r="303" spans="2:19">
      <c r="B303" s="58" t="s">
        <v>63</v>
      </c>
      <c r="H303" s="120"/>
      <c r="I303" s="120">
        <f>+I302+I301</f>
        <v>9.6005144920902765</v>
      </c>
      <c r="J303" s="120">
        <f t="shared" ref="J303:R303" si="133">+J302+J301</f>
        <v>9.1217843231873594</v>
      </c>
      <c r="K303" s="120">
        <f t="shared" si="133"/>
        <v>8.273686756329079</v>
      </c>
      <c r="L303" s="120">
        <f t="shared" si="133"/>
        <v>7.6384177192070553</v>
      </c>
      <c r="M303" s="120">
        <f t="shared" si="133"/>
        <v>7.1854199669976779</v>
      </c>
      <c r="N303" s="120">
        <f t="shared" si="133"/>
        <v>6.7324222147882988</v>
      </c>
      <c r="O303" s="120">
        <f t="shared" si="133"/>
        <v>6.2794244625789206</v>
      </c>
      <c r="P303" s="120">
        <f t="shared" si="133"/>
        <v>5.8264267103695424</v>
      </c>
      <c r="Q303" s="120">
        <f t="shared" si="133"/>
        <v>5.3734289581601633</v>
      </c>
      <c r="R303" s="120">
        <f t="shared" si="133"/>
        <v>4.9204312059507851</v>
      </c>
    </row>
    <row r="304" spans="2:19">
      <c r="B304" s="58" t="s">
        <v>57</v>
      </c>
      <c r="H304" s="120">
        <f>+H130</f>
        <v>44.674334537414069</v>
      </c>
      <c r="I304" s="120">
        <f>+I300-I302</f>
        <v>40.206901083672662</v>
      </c>
      <c r="J304" s="120">
        <f t="shared" ref="J304:R304" si="134">+J300-J302</f>
        <v>35.739467629931255</v>
      </c>
      <c r="K304" s="120">
        <f t="shared" si="134"/>
        <v>31.272034176189848</v>
      </c>
      <c r="L304" s="120">
        <f t="shared" si="134"/>
        <v>26.804600722448441</v>
      </c>
      <c r="M304" s="120">
        <f t="shared" si="134"/>
        <v>22.337167268707034</v>
      </c>
      <c r="N304" s="120">
        <f t="shared" si="134"/>
        <v>17.869733814965628</v>
      </c>
      <c r="O304" s="120">
        <f t="shared" si="134"/>
        <v>13.402300361224221</v>
      </c>
      <c r="P304" s="120">
        <f t="shared" si="134"/>
        <v>8.9348669074828138</v>
      </c>
      <c r="Q304" s="120">
        <f t="shared" si="134"/>
        <v>4.4674334537414069</v>
      </c>
      <c r="R304" s="120">
        <f t="shared" si="134"/>
        <v>0</v>
      </c>
      <c r="S304" s="140"/>
    </row>
    <row r="305" spans="2:18">
      <c r="B305" s="58" t="s">
        <v>58</v>
      </c>
      <c r="H305" s="142">
        <f>+H297</f>
        <v>0.11249999999999999</v>
      </c>
      <c r="I305" s="142">
        <f>+I297</f>
        <v>0.11489999999999985</v>
      </c>
      <c r="J305" s="142">
        <f t="shared" ref="J305:O305" si="135">+J297</f>
        <v>0.1157600000000001</v>
      </c>
      <c r="K305" s="142">
        <f t="shared" si="135"/>
        <v>0.10649999999999983</v>
      </c>
      <c r="L305" s="142">
        <f t="shared" si="135"/>
        <v>0.10139999999999995</v>
      </c>
      <c r="M305" s="142">
        <f t="shared" si="135"/>
        <v>0.10139999999999995</v>
      </c>
      <c r="N305" s="142">
        <f t="shared" si="135"/>
        <v>0.10139999999999995</v>
      </c>
      <c r="O305" s="142">
        <f t="shared" si="135"/>
        <v>0.10139999999999995</v>
      </c>
      <c r="P305" s="142">
        <f>+O305</f>
        <v>0.10139999999999995</v>
      </c>
      <c r="Q305" s="142">
        <f>+P305</f>
        <v>0.10139999999999995</v>
      </c>
      <c r="R305" s="142">
        <f>+Q305</f>
        <v>0.10139999999999995</v>
      </c>
    </row>
    <row r="306" spans="2:18"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</row>
    <row r="307" spans="2:18"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</row>
    <row r="308" spans="2:18" ht="15.75">
      <c r="B308" s="148" t="s">
        <v>70</v>
      </c>
      <c r="H308" s="142"/>
      <c r="I308" s="142"/>
      <c r="J308" s="147">
        <v>6</v>
      </c>
      <c r="K308" s="147">
        <v>7</v>
      </c>
      <c r="L308" s="147">
        <v>8</v>
      </c>
      <c r="M308" s="147">
        <v>9</v>
      </c>
      <c r="N308" s="147">
        <v>10</v>
      </c>
      <c r="O308" s="142"/>
      <c r="P308" s="142"/>
      <c r="Q308" s="142"/>
      <c r="R308" s="142"/>
    </row>
    <row r="309" spans="2:18" ht="15.75">
      <c r="B309" s="148" t="s">
        <v>369</v>
      </c>
      <c r="H309" s="142"/>
      <c r="I309" s="142"/>
      <c r="J309" s="149">
        <f>-J138</f>
        <v>10.297131139187361</v>
      </c>
      <c r="K309" s="149">
        <f>-K138</f>
        <v>9.3366287563290804</v>
      </c>
      <c r="L309" s="149">
        <f>-L138</f>
        <v>-91.695507635144068</v>
      </c>
      <c r="M309" s="149">
        <f>-M138</f>
        <v>28.292215379187986</v>
      </c>
      <c r="N309" s="149">
        <f>-N138</f>
        <v>26.75175485290309</v>
      </c>
      <c r="O309" s="142"/>
      <c r="P309" s="142"/>
      <c r="Q309" s="142"/>
      <c r="R309" s="142"/>
    </row>
    <row r="310" spans="2:18" ht="15.75">
      <c r="B310" s="148" t="s">
        <v>358</v>
      </c>
      <c r="H310" s="142"/>
      <c r="I310" s="142"/>
      <c r="J310" s="149">
        <f>-J143</f>
        <v>15.796012434065116</v>
      </c>
      <c r="K310" s="149">
        <f>-K143</f>
        <v>21.955500475661765</v>
      </c>
      <c r="L310" s="149">
        <f>-L143</f>
        <v>25.821836445550296</v>
      </c>
      <c r="M310" s="149">
        <f>-M143</f>
        <v>29.75725592045022</v>
      </c>
      <c r="N310" s="149">
        <f>-N143</f>
        <v>10.389206282513491</v>
      </c>
      <c r="O310" s="142"/>
      <c r="P310" s="142"/>
      <c r="Q310" s="142"/>
      <c r="R310" s="142"/>
    </row>
    <row r="311" spans="2:18" ht="15.75">
      <c r="B311" s="148" t="s">
        <v>370</v>
      </c>
      <c r="H311" s="142"/>
      <c r="I311" s="142"/>
      <c r="J311" s="150">
        <f>+J310+J309</f>
        <v>26.093143573252476</v>
      </c>
      <c r="K311" s="150">
        <f>+K310+K309</f>
        <v>31.292129231990845</v>
      </c>
      <c r="L311" s="150">
        <f>+L310+L309</f>
        <v>-65.873671189593779</v>
      </c>
      <c r="M311" s="150">
        <f>+M310+M309</f>
        <v>58.049471299638206</v>
      </c>
      <c r="N311" s="150">
        <f>+N310+N309</f>
        <v>37.140961135416582</v>
      </c>
      <c r="O311" s="142"/>
      <c r="P311" s="142"/>
      <c r="Q311" s="142"/>
      <c r="R311" s="142"/>
    </row>
    <row r="312" spans="2:18" ht="15.75">
      <c r="B312" s="148" t="s">
        <v>371</v>
      </c>
      <c r="H312" s="142"/>
      <c r="I312" s="142"/>
      <c r="J312" s="150">
        <f>+J333</f>
        <v>1.797634189906083</v>
      </c>
      <c r="K312" s="150">
        <f>+K333</f>
        <v>1.4614583559056851</v>
      </c>
      <c r="L312" s="150">
        <f>+L333</f>
        <v>1.2083079489129767</v>
      </c>
      <c r="M312" s="150">
        <f>+M333</f>
        <v>4.5851039409040135</v>
      </c>
      <c r="N312" s="150">
        <f>+N333</f>
        <v>4.0459427567042994</v>
      </c>
      <c r="O312" s="142"/>
      <c r="P312" s="142"/>
      <c r="Q312" s="142"/>
      <c r="R312" s="142"/>
    </row>
    <row r="313" spans="2:18" ht="15.75">
      <c r="B313" s="148" t="s">
        <v>356</v>
      </c>
      <c r="H313" s="142"/>
      <c r="I313" s="142"/>
      <c r="J313" s="149">
        <f>+J311-J312</f>
        <v>24.295509383346392</v>
      </c>
      <c r="K313" s="149">
        <f>+K311-K312</f>
        <v>29.830670876085161</v>
      </c>
      <c r="L313" s="149">
        <f>+L311-L312</f>
        <v>-67.081979138506753</v>
      </c>
      <c r="M313" s="149">
        <f>+M311-M312</f>
        <v>53.464367358734194</v>
      </c>
      <c r="N313" s="149">
        <f>+N311-N312</f>
        <v>33.095018378712282</v>
      </c>
      <c r="O313" s="142"/>
      <c r="P313" s="142"/>
      <c r="Q313" s="142"/>
      <c r="R313" s="142"/>
    </row>
    <row r="314" spans="2:18"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</row>
    <row r="315" spans="2:18"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</row>
    <row r="316" spans="2:18"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</row>
    <row r="317" spans="2:18"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</row>
    <row r="318" spans="2:18"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</row>
    <row r="321" spans="2:15" ht="12.75">
      <c r="B321" s="143" t="s">
        <v>341</v>
      </c>
    </row>
    <row r="322" spans="2:15" ht="12.75">
      <c r="B322" s="143" t="s">
        <v>342</v>
      </c>
      <c r="I322" s="60">
        <f t="shared" ref="I322:N325" si="136">+I198</f>
        <v>14</v>
      </c>
      <c r="J322" s="60">
        <f t="shared" si="136"/>
        <v>14.771840894089266</v>
      </c>
      <c r="K322" s="60">
        <f t="shared" si="136"/>
        <v>15.681110975377678</v>
      </c>
      <c r="L322" s="60">
        <f t="shared" si="136"/>
        <v>16.565933372676412</v>
      </c>
      <c r="M322" s="60">
        <f t="shared" si="136"/>
        <v>17.500682760224194</v>
      </c>
      <c r="N322" s="60">
        <f t="shared" si="136"/>
        <v>18.488176318466387</v>
      </c>
    </row>
    <row r="323" spans="2:15" ht="12.75">
      <c r="B323" s="143" t="s">
        <v>346</v>
      </c>
      <c r="I323" s="60">
        <f t="shared" si="136"/>
        <v>15.465117369524673</v>
      </c>
      <c r="J323" s="60">
        <f t="shared" si="136"/>
        <v>28.593709843834436</v>
      </c>
      <c r="K323" s="60">
        <f t="shared" si="136"/>
        <v>30.353775164091449</v>
      </c>
      <c r="L323" s="60">
        <f t="shared" si="136"/>
        <v>32.06651733841381</v>
      </c>
      <c r="M323" s="60">
        <f t="shared" si="136"/>
        <v>33.875902705875866</v>
      </c>
      <c r="N323" s="60">
        <f t="shared" si="136"/>
        <v>35.787384455474928</v>
      </c>
    </row>
    <row r="324" spans="2:15" ht="12.75">
      <c r="B324" s="143" t="s">
        <v>343</v>
      </c>
      <c r="I324" s="60">
        <f t="shared" si="136"/>
        <v>30.262332419423046</v>
      </c>
      <c r="J324" s="60">
        <f t="shared" si="136"/>
        <v>22.793653030238005</v>
      </c>
      <c r="K324" s="60">
        <f t="shared" si="136"/>
        <v>24.082931808452575</v>
      </c>
      <c r="L324" s="60">
        <f t="shared" si="136"/>
        <v>25.322212777364907</v>
      </c>
      <c r="M324" s="60">
        <f t="shared" si="136"/>
        <v>26.625265770884692</v>
      </c>
      <c r="N324" s="60">
        <f t="shared" si="136"/>
        <v>27.995372426690992</v>
      </c>
    </row>
    <row r="325" spans="2:15" ht="12.75">
      <c r="B325" s="143" t="s">
        <v>344</v>
      </c>
      <c r="I325" s="60">
        <f t="shared" si="136"/>
        <v>31.123749347172151</v>
      </c>
      <c r="J325" s="60">
        <f t="shared" si="136"/>
        <v>55.063299753339294</v>
      </c>
      <c r="K325" s="60">
        <f t="shared" si="136"/>
        <v>76.983689250968894</v>
      </c>
      <c r="L325" s="60">
        <f t="shared" si="136"/>
        <v>0</v>
      </c>
      <c r="M325" s="60">
        <f t="shared" si="136"/>
        <v>17.562451103329124</v>
      </c>
      <c r="N325" s="60">
        <f t="shared" si="136"/>
        <v>61.257581271663241</v>
      </c>
    </row>
    <row r="326" spans="2:15" ht="12.75">
      <c r="B326" s="143" t="s">
        <v>345</v>
      </c>
      <c r="I326" s="60">
        <f t="shared" ref="I326:N326" si="137">SUM(I322:I325)</f>
        <v>90.851199136119874</v>
      </c>
      <c r="J326" s="60">
        <f t="shared" si="137"/>
        <v>121.222503521501</v>
      </c>
      <c r="K326" s="60">
        <f t="shared" si="137"/>
        <v>147.1015071988906</v>
      </c>
      <c r="L326" s="60">
        <f t="shared" si="137"/>
        <v>73.954663488455125</v>
      </c>
      <c r="M326" s="60">
        <f t="shared" si="137"/>
        <v>95.564302340313873</v>
      </c>
      <c r="N326" s="60">
        <f t="shared" si="137"/>
        <v>143.52851447229554</v>
      </c>
    </row>
    <row r="327" spans="2:15" ht="12.75">
      <c r="B327" s="144"/>
    </row>
    <row r="328" spans="2:15" ht="12.75">
      <c r="B328" s="143" t="s">
        <v>347</v>
      </c>
      <c r="I328" s="60">
        <f t="shared" ref="I328:N328" si="138">+I206</f>
        <v>28.842835522782821</v>
      </c>
      <c r="J328" s="60">
        <f t="shared" si="138"/>
        <v>35.494867735557193</v>
      </c>
      <c r="K328" s="60">
        <f t="shared" si="138"/>
        <v>38.425465721116666</v>
      </c>
      <c r="L328" s="60">
        <f t="shared" si="138"/>
        <v>40.402797582890173</v>
      </c>
      <c r="M328" s="60">
        <f t="shared" si="138"/>
        <v>42.481880749903894</v>
      </c>
      <c r="N328" s="60">
        <f t="shared" si="138"/>
        <v>44.667951231508653</v>
      </c>
    </row>
    <row r="329" spans="2:15" ht="12.75">
      <c r="B329" s="143" t="s">
        <v>348</v>
      </c>
      <c r="I329" s="60">
        <f t="shared" ref="I329:N329" si="139">+I328</f>
        <v>28.842835522782821</v>
      </c>
      <c r="J329" s="60">
        <f t="shared" si="139"/>
        <v>35.494867735557193</v>
      </c>
      <c r="K329" s="60">
        <f t="shared" si="139"/>
        <v>38.425465721116666</v>
      </c>
      <c r="L329" s="60">
        <f t="shared" si="139"/>
        <v>40.402797582890173</v>
      </c>
      <c r="M329" s="60">
        <f t="shared" si="139"/>
        <v>42.481880749903894</v>
      </c>
      <c r="N329" s="60">
        <f t="shared" si="139"/>
        <v>44.667951231508653</v>
      </c>
    </row>
    <row r="330" spans="2:15" ht="25.5">
      <c r="B330" s="143" t="s">
        <v>350</v>
      </c>
      <c r="I330" s="60">
        <f t="shared" ref="I330:N330" si="140">+I326-I329</f>
        <v>62.008363613337053</v>
      </c>
      <c r="J330" s="60">
        <f t="shared" si="140"/>
        <v>85.727635785943804</v>
      </c>
      <c r="K330" s="60">
        <f t="shared" si="140"/>
        <v>108.67604147777394</v>
      </c>
      <c r="L330" s="60">
        <f t="shared" si="140"/>
        <v>33.551865905564952</v>
      </c>
      <c r="M330" s="60">
        <f t="shared" si="140"/>
        <v>53.082421590409979</v>
      </c>
      <c r="N330" s="60">
        <f t="shared" si="140"/>
        <v>98.860563240786888</v>
      </c>
    </row>
    <row r="331" spans="2:15" ht="12.75">
      <c r="B331" s="143" t="s">
        <v>349</v>
      </c>
      <c r="J331" s="60">
        <f>+J330-I330</f>
        <v>23.71927217260675</v>
      </c>
      <c r="K331" s="60">
        <f>+K330-J330</f>
        <v>22.948405691830132</v>
      </c>
      <c r="L331" s="60">
        <f>+L330-K330</f>
        <v>-75.124175572208983</v>
      </c>
      <c r="M331" s="60">
        <f>+M330-L330</f>
        <v>19.530555684845027</v>
      </c>
      <c r="N331" s="60">
        <f>+N330-M330</f>
        <v>45.778141650376909</v>
      </c>
    </row>
    <row r="333" spans="2:15">
      <c r="B333" s="121" t="s">
        <v>367</v>
      </c>
      <c r="J333">
        <f t="shared" ref="J333:O333" si="141">+J187*J8</f>
        <v>1.797634189906083</v>
      </c>
      <c r="K333">
        <f t="shared" si="141"/>
        <v>1.4614583559056851</v>
      </c>
      <c r="L333">
        <f t="shared" si="141"/>
        <v>1.2083079489129767</v>
      </c>
      <c r="M333">
        <f t="shared" si="141"/>
        <v>4.5851039409040135</v>
      </c>
      <c r="N333">
        <f t="shared" si="141"/>
        <v>4.0459427567042994</v>
      </c>
      <c r="O333">
        <f t="shared" si="141"/>
        <v>0</v>
      </c>
    </row>
    <row r="334" spans="2:15">
      <c r="B334" s="121" t="s">
        <v>368</v>
      </c>
      <c r="J334" s="60">
        <f>+J203-I203+J185</f>
        <v>0</v>
      </c>
      <c r="K334" s="60">
        <f>+K203-J203+K185</f>
        <v>0</v>
      </c>
      <c r="L334" s="60">
        <f>+L203-K203+L185</f>
        <v>200</v>
      </c>
      <c r="M334" s="60">
        <f>+M203-L203+M185</f>
        <v>0</v>
      </c>
      <c r="N334" s="60">
        <f>+N203-M203+N185</f>
        <v>0</v>
      </c>
    </row>
    <row r="335" spans="2:15">
      <c r="B335" s="121"/>
      <c r="J335" s="60"/>
      <c r="K335" s="60"/>
      <c r="L335" s="60"/>
      <c r="M335" s="60"/>
      <c r="N335" s="60"/>
    </row>
    <row r="336" spans="2:15" ht="15">
      <c r="B336" s="145" t="s">
        <v>351</v>
      </c>
      <c r="J336" s="61">
        <f>+J191</f>
        <v>30.600000662943224</v>
      </c>
      <c r="K336" s="61">
        <f>+K191</f>
        <v>35.988622223763478</v>
      </c>
      <c r="L336" s="61">
        <f>+L191</f>
        <v>41.473527415261628</v>
      </c>
      <c r="M336" s="61">
        <f>+M191</f>
        <v>14.479730010471764</v>
      </c>
      <c r="N336" s="61">
        <f>+N191</f>
        <v>21.359266338066867</v>
      </c>
    </row>
    <row r="337" spans="2:14" ht="15">
      <c r="B337" s="145" t="s">
        <v>352</v>
      </c>
      <c r="J337" s="61">
        <f>+J185</f>
        <v>14.07631739747003</v>
      </c>
      <c r="K337" s="61">
        <f>+K185</f>
        <v>14.07631739747003</v>
      </c>
      <c r="L337" s="61">
        <f>+L185</f>
        <v>14.07631739747003</v>
      </c>
      <c r="M337" s="61">
        <f>+M185</f>
        <v>50</v>
      </c>
      <c r="N337" s="61">
        <f>+N185</f>
        <v>50</v>
      </c>
    </row>
    <row r="338" spans="2:14" ht="15">
      <c r="B338" s="145" t="s">
        <v>353</v>
      </c>
      <c r="J338" s="61">
        <f>+J187</f>
        <v>5.1360976854459519</v>
      </c>
      <c r="K338" s="61">
        <f>+K187</f>
        <v>4.1755953025876718</v>
      </c>
      <c r="L338" s="61">
        <f>+L187</f>
        <v>3.452308425465648</v>
      </c>
      <c r="M338" s="61">
        <f>+M187</f>
        <v>13.100296974011467</v>
      </c>
      <c r="N338" s="61">
        <f>+N187</f>
        <v>11.559836447726569</v>
      </c>
    </row>
    <row r="339" spans="2:14" ht="15">
      <c r="B339" s="145" t="s">
        <v>354</v>
      </c>
      <c r="J339" s="61">
        <f>-J333</f>
        <v>-1.797634189906083</v>
      </c>
      <c r="K339" s="61">
        <f>-K333</f>
        <v>-1.4614583559056851</v>
      </c>
      <c r="L339" s="61">
        <f>-L333</f>
        <v>-1.2083079489129767</v>
      </c>
      <c r="M339" s="61">
        <f>-M333</f>
        <v>-4.5851039409040135</v>
      </c>
      <c r="N339" s="61">
        <f>-N333</f>
        <v>-4.0459427567042994</v>
      </c>
    </row>
    <row r="340" spans="2:14" ht="15">
      <c r="B340" s="145" t="s">
        <v>355</v>
      </c>
      <c r="J340" s="61">
        <f>-J331</f>
        <v>-23.71927217260675</v>
      </c>
      <c r="K340" s="61">
        <f>-K331</f>
        <v>-22.948405691830132</v>
      </c>
      <c r="L340" s="61">
        <f>-L331</f>
        <v>75.124175572208983</v>
      </c>
      <c r="M340" s="61">
        <f>-M331</f>
        <v>-19.530555684845027</v>
      </c>
      <c r="N340" s="61">
        <f>-N331</f>
        <v>-45.778141650376909</v>
      </c>
    </row>
    <row r="341" spans="2:14" ht="15">
      <c r="B341" s="145" t="s">
        <v>363</v>
      </c>
      <c r="J341" s="61">
        <f>-J334</f>
        <v>0</v>
      </c>
      <c r="K341" s="61">
        <f>-K334</f>
        <v>0</v>
      </c>
      <c r="L341" s="61">
        <f>-L334</f>
        <v>-200</v>
      </c>
      <c r="M341" s="61">
        <f>-M334</f>
        <v>0</v>
      </c>
      <c r="N341" s="61">
        <f>-N334</f>
        <v>0</v>
      </c>
    </row>
    <row r="342" spans="2:14" ht="15">
      <c r="B342" s="145" t="s">
        <v>356</v>
      </c>
      <c r="J342" s="61">
        <f>SUM(J336:J341)</f>
        <v>24.295509383346371</v>
      </c>
      <c r="K342" s="61">
        <f>SUM(K336:K341)</f>
        <v>29.830670876085364</v>
      </c>
      <c r="L342" s="61">
        <f>SUM(L336:L341)</f>
        <v>-67.081979138506682</v>
      </c>
      <c r="M342" s="61">
        <f>SUM(M336:M341)</f>
        <v>53.464367358734194</v>
      </c>
      <c r="N342" s="61">
        <f>SUM(N336:N341)</f>
        <v>33.09501837871224</v>
      </c>
    </row>
    <row r="343" spans="2:14">
      <c r="J343" s="61">
        <f>+J313</f>
        <v>24.295509383346392</v>
      </c>
      <c r="K343" s="61">
        <f>+K313</f>
        <v>29.830670876085161</v>
      </c>
      <c r="L343" s="61">
        <f>+L313</f>
        <v>-67.081979138506753</v>
      </c>
      <c r="M343" s="61">
        <f>+M313</f>
        <v>53.464367358734194</v>
      </c>
      <c r="N343" s="61">
        <f>+N313</f>
        <v>33.095018378712282</v>
      </c>
    </row>
    <row r="345" spans="2:14" ht="15">
      <c r="B345" s="145" t="s">
        <v>351</v>
      </c>
      <c r="J345" s="60">
        <f t="shared" ref="J345:N346" si="142">+J336</f>
        <v>30.600000662943224</v>
      </c>
      <c r="K345" s="60">
        <f t="shared" si="142"/>
        <v>35.988622223763478</v>
      </c>
      <c r="L345" s="60">
        <f t="shared" si="142"/>
        <v>41.473527415261628</v>
      </c>
      <c r="M345" s="60">
        <f t="shared" si="142"/>
        <v>14.479730010471764</v>
      </c>
      <c r="N345" s="60">
        <f t="shared" si="142"/>
        <v>21.359266338066867</v>
      </c>
    </row>
    <row r="346" spans="2:14" ht="15">
      <c r="B346" s="145" t="s">
        <v>352</v>
      </c>
      <c r="J346" s="60">
        <f t="shared" si="142"/>
        <v>14.07631739747003</v>
      </c>
      <c r="K346" s="60">
        <f t="shared" si="142"/>
        <v>14.07631739747003</v>
      </c>
      <c r="L346" s="60">
        <f t="shared" si="142"/>
        <v>14.07631739747003</v>
      </c>
      <c r="M346" s="60">
        <f t="shared" si="142"/>
        <v>50</v>
      </c>
      <c r="N346" s="60">
        <f t="shared" si="142"/>
        <v>50</v>
      </c>
    </row>
    <row r="347" spans="2:14" ht="15">
      <c r="B347" s="145" t="s">
        <v>355</v>
      </c>
      <c r="J347" s="60">
        <f>+J340</f>
        <v>-23.71927217260675</v>
      </c>
      <c r="K347" s="60">
        <f>+K340</f>
        <v>-22.948405691830132</v>
      </c>
      <c r="L347" s="60">
        <f>+L340</f>
        <v>75.124175572208983</v>
      </c>
      <c r="M347" s="60">
        <f>+M340</f>
        <v>-19.530555684845027</v>
      </c>
      <c r="N347" s="60">
        <f>+N340</f>
        <v>-45.778141650376909</v>
      </c>
    </row>
    <row r="348" spans="2:14" ht="12.75">
      <c r="B348" s="143" t="s">
        <v>357</v>
      </c>
      <c r="J348" s="60">
        <f>(J209+J207-I209-I207)</f>
        <v>-5.1610334537414175</v>
      </c>
      <c r="K348" s="60">
        <f>(K209+K207-J209-J207)</f>
        <v>-5.1610334537414033</v>
      </c>
      <c r="L348" s="60">
        <f>(L209+L207-K209-K207)</f>
        <v>95.147816060609728</v>
      </c>
      <c r="M348" s="60">
        <f>(M209+M207-L209-L207)</f>
        <v>-15.191918405176523</v>
      </c>
      <c r="N348" s="60">
        <f>(N209+N207-M209-M207)</f>
        <v>-15.191918405176523</v>
      </c>
    </row>
    <row r="349" spans="2:14" ht="15">
      <c r="B349" s="145" t="s">
        <v>363</v>
      </c>
      <c r="J349" s="60">
        <f>-J334</f>
        <v>0</v>
      </c>
      <c r="K349" s="60">
        <f>-K334</f>
        <v>0</v>
      </c>
      <c r="L349" s="60">
        <f>-L334</f>
        <v>-200</v>
      </c>
      <c r="M349" s="60">
        <f>-M334</f>
        <v>0</v>
      </c>
      <c r="N349" s="60">
        <f>-N334</f>
        <v>0</v>
      </c>
    </row>
    <row r="350" spans="2:14" ht="15">
      <c r="B350" s="146" t="s">
        <v>358</v>
      </c>
      <c r="J350" s="60">
        <f>SUM(J345:J349)</f>
        <v>15.796012434065084</v>
      </c>
      <c r="K350" s="60">
        <f>SUM(K345:K349)</f>
        <v>21.955500475661971</v>
      </c>
      <c r="L350" s="60">
        <f>SUM(L345:L349)</f>
        <v>25.82183644555036</v>
      </c>
      <c r="M350" s="60">
        <f>SUM(M345:M349)</f>
        <v>29.75725592045022</v>
      </c>
      <c r="N350" s="60">
        <f>SUM(N345:N349)</f>
        <v>10.389206282513442</v>
      </c>
    </row>
    <row r="351" spans="2:14">
      <c r="J351">
        <f>+J310</f>
        <v>15.796012434065116</v>
      </c>
      <c r="K351">
        <f>+K310</f>
        <v>21.955500475661765</v>
      </c>
      <c r="L351">
        <f>+L310</f>
        <v>25.821836445550296</v>
      </c>
      <c r="M351">
        <f>+M310</f>
        <v>29.75725592045022</v>
      </c>
      <c r="N351">
        <f>+N310</f>
        <v>10.389206282513491</v>
      </c>
    </row>
    <row r="353" spans="2:14" ht="15">
      <c r="B353" s="81" t="s">
        <v>359</v>
      </c>
      <c r="J353" s="60">
        <f>+J186</f>
        <v>50.313928406490597</v>
      </c>
      <c r="K353" s="60">
        <f>+K186</f>
        <v>56.692767679086494</v>
      </c>
      <c r="L353" s="60">
        <f>+L186</f>
        <v>63.665868736948759</v>
      </c>
      <c r="M353" s="60">
        <f>+M186</f>
        <v>35.376804682429565</v>
      </c>
      <c r="N353" s="60">
        <f>+N186</f>
        <v>43.60082613624509</v>
      </c>
    </row>
    <row r="354" spans="2:14" ht="15">
      <c r="B354" s="81" t="s">
        <v>360</v>
      </c>
      <c r="J354" s="60">
        <f>-J353*J8</f>
        <v>-17.609874942271709</v>
      </c>
      <c r="K354" s="60">
        <f>-K353*K8</f>
        <v>-19.84246868768027</v>
      </c>
      <c r="L354" s="60">
        <f>-L353*L8</f>
        <v>-22.283054057932066</v>
      </c>
      <c r="M354" s="60">
        <f>-M353*M8</f>
        <v>-12.381881638850347</v>
      </c>
      <c r="N354" s="60">
        <f>-N353*N8</f>
        <v>-15.26028914768578</v>
      </c>
    </row>
    <row r="355" spans="2:14" ht="15">
      <c r="B355" s="145" t="s">
        <v>352</v>
      </c>
      <c r="J355" s="60">
        <f>+J346</f>
        <v>14.07631739747003</v>
      </c>
      <c r="K355" s="60">
        <f>+K346</f>
        <v>14.07631739747003</v>
      </c>
      <c r="L355" s="60">
        <f>+L346</f>
        <v>14.07631739747003</v>
      </c>
      <c r="M355" s="60">
        <f>+M346</f>
        <v>50</v>
      </c>
      <c r="N355" s="60">
        <f>+N346</f>
        <v>50</v>
      </c>
    </row>
    <row r="356" spans="2:14" ht="15">
      <c r="B356" s="81" t="s">
        <v>361</v>
      </c>
      <c r="J356" s="60">
        <f>J188</f>
        <v>1.8990933757910811</v>
      </c>
      <c r="K356" s="60">
        <f>K188</f>
        <v>2.8499387369834506</v>
      </c>
      <c r="L356" s="60">
        <f>L188</f>
        <v>3.5918664812270795</v>
      </c>
      <c r="M356" s="60">
        <f>M188</f>
        <v>0</v>
      </c>
      <c r="N356" s="60">
        <f>N188</f>
        <v>0.81942006235357834</v>
      </c>
    </row>
    <row r="357" spans="2:14" ht="15">
      <c r="B357" s="81" t="s">
        <v>362</v>
      </c>
      <c r="J357" s="60">
        <f>-J356*J8</f>
        <v>-0.66468268152687837</v>
      </c>
      <c r="K357" s="60">
        <f>-K356*K8</f>
        <v>-0.99747855794420759</v>
      </c>
      <c r="L357" s="60">
        <f>-L356*L8</f>
        <v>-1.2571532684294777</v>
      </c>
      <c r="M357" s="60">
        <f>-M356*M8</f>
        <v>0</v>
      </c>
      <c r="N357" s="60">
        <f>-N356*N8</f>
        <v>-0.28679702182375238</v>
      </c>
    </row>
    <row r="358" spans="2:14" ht="15">
      <c r="B358" s="145" t="s">
        <v>355</v>
      </c>
      <c r="J358" s="60">
        <f>+J347</f>
        <v>-23.71927217260675</v>
      </c>
      <c r="K358" s="60">
        <f>+K347</f>
        <v>-22.948405691830132</v>
      </c>
      <c r="L358" s="60">
        <f>+L347</f>
        <v>75.124175572208983</v>
      </c>
      <c r="M358" s="60">
        <f>+M347</f>
        <v>-19.530555684845027</v>
      </c>
      <c r="N358" s="60">
        <f>+N347</f>
        <v>-45.778141650376909</v>
      </c>
    </row>
    <row r="359" spans="2:14" ht="15">
      <c r="B359" s="145" t="s">
        <v>363</v>
      </c>
      <c r="J359" s="60">
        <f>+J349</f>
        <v>0</v>
      </c>
      <c r="K359" s="60">
        <f>+K349</f>
        <v>0</v>
      </c>
      <c r="L359" s="60">
        <f>+L349</f>
        <v>-200</v>
      </c>
      <c r="M359" s="60">
        <f>+M349</f>
        <v>0</v>
      </c>
      <c r="N359" s="60">
        <f>+N349</f>
        <v>0</v>
      </c>
    </row>
    <row r="360" spans="2:14" ht="15">
      <c r="B360" s="145" t="s">
        <v>356</v>
      </c>
      <c r="J360" s="60">
        <f>SUM(J353:J359)</f>
        <v>24.295509383346371</v>
      </c>
      <c r="K360" s="60">
        <f>SUM(K353:K359)</f>
        <v>29.830670876085364</v>
      </c>
      <c r="L360" s="60">
        <f>SUM(L353:L359)</f>
        <v>-67.081979138506711</v>
      </c>
      <c r="M360" s="60">
        <f>SUM(M353:M359)</f>
        <v>53.464367358734194</v>
      </c>
      <c r="N360" s="60">
        <f>SUM(N353:N359)</f>
        <v>33.095018378712211</v>
      </c>
    </row>
    <row r="363" spans="2:14" ht="15">
      <c r="B363" s="81" t="s">
        <v>359</v>
      </c>
      <c r="J363" s="60">
        <f>+J353</f>
        <v>50.313928406490597</v>
      </c>
      <c r="K363" s="60">
        <f>+K353</f>
        <v>56.692767679086494</v>
      </c>
      <c r="L363" s="60">
        <f>+L353</f>
        <v>63.665868736948759</v>
      </c>
      <c r="M363" s="60">
        <f>+M353</f>
        <v>35.376804682429565</v>
      </c>
      <c r="N363" s="60">
        <f>+N353</f>
        <v>43.60082613624509</v>
      </c>
    </row>
    <row r="364" spans="2:14" ht="15">
      <c r="B364" s="81" t="s">
        <v>360</v>
      </c>
      <c r="J364" s="60">
        <f t="shared" ref="J364:N365" si="143">+J354</f>
        <v>-17.609874942271709</v>
      </c>
      <c r="K364" s="60">
        <f t="shared" si="143"/>
        <v>-19.84246868768027</v>
      </c>
      <c r="L364" s="60">
        <f t="shared" si="143"/>
        <v>-22.283054057932066</v>
      </c>
      <c r="M364" s="60">
        <f t="shared" si="143"/>
        <v>-12.381881638850347</v>
      </c>
      <c r="N364" s="60">
        <f t="shared" si="143"/>
        <v>-15.26028914768578</v>
      </c>
    </row>
    <row r="365" spans="2:14" ht="15">
      <c r="B365" s="145" t="s">
        <v>352</v>
      </c>
      <c r="J365" s="60">
        <f t="shared" si="143"/>
        <v>14.07631739747003</v>
      </c>
      <c r="K365" s="60">
        <f t="shared" si="143"/>
        <v>14.07631739747003</v>
      </c>
      <c r="L365" s="60">
        <f t="shared" si="143"/>
        <v>14.07631739747003</v>
      </c>
      <c r="M365" s="60">
        <f t="shared" si="143"/>
        <v>50</v>
      </c>
      <c r="N365" s="60">
        <f t="shared" si="143"/>
        <v>50</v>
      </c>
    </row>
    <row r="366" spans="2:14" ht="15">
      <c r="B366" s="145" t="s">
        <v>355</v>
      </c>
      <c r="J366" s="60">
        <f>+J358</f>
        <v>-23.71927217260675</v>
      </c>
      <c r="K366" s="60">
        <f>+K358</f>
        <v>-22.948405691830132</v>
      </c>
      <c r="L366" s="60">
        <f>+L358</f>
        <v>75.124175572208983</v>
      </c>
      <c r="M366" s="60">
        <f>+M358</f>
        <v>-19.530555684845027</v>
      </c>
      <c r="N366" s="60">
        <f>+N358</f>
        <v>-45.778141650376909</v>
      </c>
    </row>
    <row r="367" spans="2:14" ht="12.75">
      <c r="B367" s="144" t="s">
        <v>364</v>
      </c>
      <c r="J367" s="60">
        <f>+J348</f>
        <v>-5.1610334537414175</v>
      </c>
      <c r="K367" s="60">
        <f>+K348</f>
        <v>-5.1610334537414033</v>
      </c>
      <c r="L367" s="60">
        <f>+L348</f>
        <v>95.147816060609728</v>
      </c>
      <c r="M367" s="60">
        <f>+M348</f>
        <v>-15.191918405176523</v>
      </c>
      <c r="N367" s="60">
        <f>+N348</f>
        <v>-15.191918405176523</v>
      </c>
    </row>
    <row r="368" spans="2:14" ht="15">
      <c r="B368" s="145" t="s">
        <v>363</v>
      </c>
      <c r="J368" s="60">
        <f>+J359</f>
        <v>0</v>
      </c>
      <c r="K368" s="60">
        <f>+K359</f>
        <v>0</v>
      </c>
      <c r="L368" s="60">
        <f>+L359</f>
        <v>-200</v>
      </c>
      <c r="M368" s="60">
        <f>+M359</f>
        <v>0</v>
      </c>
      <c r="N368" s="60">
        <f>+N359</f>
        <v>0</v>
      </c>
    </row>
    <row r="369" spans="2:15" ht="15">
      <c r="B369" s="81" t="s">
        <v>361</v>
      </c>
      <c r="J369" s="60">
        <f t="shared" ref="J369:N370" si="144">+J356</f>
        <v>1.8990933757910811</v>
      </c>
      <c r="K369" s="60">
        <f t="shared" si="144"/>
        <v>2.8499387369834506</v>
      </c>
      <c r="L369" s="60">
        <f t="shared" si="144"/>
        <v>3.5918664812270795</v>
      </c>
      <c r="M369" s="60">
        <f t="shared" si="144"/>
        <v>0</v>
      </c>
      <c r="N369" s="60">
        <f t="shared" si="144"/>
        <v>0.81942006235357834</v>
      </c>
    </row>
    <row r="370" spans="2:15" ht="15">
      <c r="B370" s="81" t="s">
        <v>362</v>
      </c>
      <c r="J370" s="60">
        <f t="shared" si="144"/>
        <v>-0.66468268152687837</v>
      </c>
      <c r="K370" s="60">
        <f t="shared" si="144"/>
        <v>-0.99747855794420759</v>
      </c>
      <c r="L370" s="60">
        <f t="shared" si="144"/>
        <v>-1.2571532684294777</v>
      </c>
      <c r="M370" s="60">
        <f t="shared" si="144"/>
        <v>0</v>
      </c>
      <c r="N370" s="60">
        <f t="shared" si="144"/>
        <v>-0.28679702182375238</v>
      </c>
    </row>
    <row r="371" spans="2:15" ht="15">
      <c r="B371" s="145" t="s">
        <v>365</v>
      </c>
      <c r="J371" s="60">
        <f t="shared" ref="J371:N372" si="145">-J338</f>
        <v>-5.1360976854459519</v>
      </c>
      <c r="K371" s="60">
        <f t="shared" si="145"/>
        <v>-4.1755953025876718</v>
      </c>
      <c r="L371" s="60">
        <f t="shared" si="145"/>
        <v>-3.452308425465648</v>
      </c>
      <c r="M371" s="60">
        <f t="shared" si="145"/>
        <v>-13.100296974011467</v>
      </c>
      <c r="N371" s="60">
        <f t="shared" si="145"/>
        <v>-11.559836447726569</v>
      </c>
    </row>
    <row r="372" spans="2:15" ht="12.75">
      <c r="B372" s="143" t="s">
        <v>366</v>
      </c>
      <c r="J372" s="60">
        <f t="shared" si="145"/>
        <v>1.797634189906083</v>
      </c>
      <c r="K372" s="60">
        <f t="shared" si="145"/>
        <v>1.4614583559056851</v>
      </c>
      <c r="L372" s="60">
        <f t="shared" si="145"/>
        <v>1.2083079489129767</v>
      </c>
      <c r="M372" s="60">
        <f t="shared" si="145"/>
        <v>4.5851039409040135</v>
      </c>
      <c r="N372" s="60">
        <f t="shared" si="145"/>
        <v>4.0459427567042994</v>
      </c>
    </row>
    <row r="373" spans="2:15" ht="12.75">
      <c r="B373" s="144" t="s">
        <v>358</v>
      </c>
      <c r="J373" s="60">
        <f>SUM(J363:J372)</f>
        <v>15.796012434065084</v>
      </c>
      <c r="K373" s="60">
        <f>SUM(K363:K372)</f>
        <v>21.955500475661964</v>
      </c>
      <c r="L373" s="60">
        <f>SUM(L363:L372)</f>
        <v>25.821836445550353</v>
      </c>
      <c r="M373" s="60">
        <f>SUM(M363:M372)</f>
        <v>29.757255920450216</v>
      </c>
      <c r="N373" s="60">
        <f>SUM(N363:N372)</f>
        <v>10.389206282513433</v>
      </c>
    </row>
    <row r="374" spans="2:15">
      <c r="J374" s="60">
        <f>+J351</f>
        <v>15.796012434065116</v>
      </c>
      <c r="K374" s="60">
        <f>+K351</f>
        <v>21.955500475661765</v>
      </c>
      <c r="L374" s="60">
        <f>+L351</f>
        <v>25.821836445550296</v>
      </c>
      <c r="M374" s="60">
        <f>+M351</f>
        <v>29.75725592045022</v>
      </c>
      <c r="N374" s="60">
        <f>+N351</f>
        <v>10.389206282513491</v>
      </c>
    </row>
    <row r="376" spans="2:15">
      <c r="B376" s="58" t="s">
        <v>336</v>
      </c>
      <c r="E376" s="142">
        <f>+E182/E180</f>
        <v>0.29126393744080464</v>
      </c>
      <c r="F376" s="142">
        <f t="shared" ref="F376:N376" si="146">+F182/F180</f>
        <v>0.29474755436265154</v>
      </c>
      <c r="G376" s="142">
        <f t="shared" si="146"/>
        <v>0.29673067837575573</v>
      </c>
      <c r="H376" s="142">
        <f t="shared" si="146"/>
        <v>0.30161154505862131</v>
      </c>
      <c r="I376" s="142">
        <f t="shared" si="146"/>
        <v>0.30386568886462767</v>
      </c>
      <c r="J376" s="142">
        <f t="shared" si="146"/>
        <v>0.30694054236566043</v>
      </c>
      <c r="K376" s="142">
        <f t="shared" si="146"/>
        <v>0.30928380769206265</v>
      </c>
      <c r="L376" s="142">
        <f t="shared" si="146"/>
        <v>0.3123427569024867</v>
      </c>
      <c r="M376" s="142">
        <f t="shared" si="146"/>
        <v>0.31557598818653843</v>
      </c>
      <c r="N376" s="142">
        <f t="shared" si="146"/>
        <v>0.31879401744277575</v>
      </c>
    </row>
    <row r="377" spans="2:15">
      <c r="B377" s="58" t="s">
        <v>375</v>
      </c>
      <c r="E377" s="142">
        <f>+E189/E180</f>
        <v>4.0966975888888285E-2</v>
      </c>
      <c r="F377" s="142">
        <f t="shared" ref="F377:N377" si="147">+F189/F180</f>
        <v>5.6471782570412861E-2</v>
      </c>
      <c r="G377" s="142">
        <f t="shared" si="147"/>
        <v>6.8675093881981578E-2</v>
      </c>
      <c r="H377" s="142">
        <f t="shared" si="147"/>
        <v>8.3412853230549727E-2</v>
      </c>
      <c r="I377" s="142">
        <f t="shared" si="147"/>
        <v>7.2525175435011385E-2</v>
      </c>
      <c r="J377" s="142">
        <f t="shared" si="147"/>
        <v>8.5613236841434626E-2</v>
      </c>
      <c r="K377" s="142">
        <f t="shared" si="147"/>
        <v>9.4851126831401344E-2</v>
      </c>
      <c r="L377" s="142">
        <f t="shared" si="147"/>
        <v>0.10346874149773358</v>
      </c>
      <c r="M377" s="142">
        <f t="shared" si="147"/>
        <v>3.4194761122537332E-2</v>
      </c>
      <c r="N377" s="142">
        <f t="shared" si="147"/>
        <v>4.7747029659887252E-2</v>
      </c>
    </row>
    <row r="378" spans="2:15">
      <c r="B378" s="58" t="s">
        <v>376</v>
      </c>
      <c r="E378" s="142">
        <f>+E191/E180</f>
        <v>2.6628534327777387E-2</v>
      </c>
      <c r="F378" s="142">
        <f t="shared" ref="F378:N378" si="148">+F191/F180</f>
        <v>3.6706658670768361E-2</v>
      </c>
      <c r="G378" s="142">
        <f t="shared" si="148"/>
        <v>4.4638811023288025E-2</v>
      </c>
      <c r="H378" s="142">
        <f t="shared" si="148"/>
        <v>5.421835459985732E-2</v>
      </c>
      <c r="I378" s="142">
        <f t="shared" si="148"/>
        <v>4.7141364032757399E-2</v>
      </c>
      <c r="J378" s="142">
        <f t="shared" si="148"/>
        <v>5.5648603946932509E-2</v>
      </c>
      <c r="K378" s="142">
        <f t="shared" si="148"/>
        <v>6.1653232440410877E-2</v>
      </c>
      <c r="L378" s="142">
        <f t="shared" si="148"/>
        <v>6.7254681973526839E-2</v>
      </c>
      <c r="M378" s="142">
        <f t="shared" si="148"/>
        <v>2.2226594729649263E-2</v>
      </c>
      <c r="N378" s="142">
        <f t="shared" si="148"/>
        <v>3.1035569278926714E-2</v>
      </c>
    </row>
    <row r="379" spans="2:15">
      <c r="B379" s="58" t="s">
        <v>378</v>
      </c>
      <c r="E379" s="61">
        <f>+E186+E185</f>
        <v>35.142344800000103</v>
      </c>
      <c r="F379" s="61">
        <f t="shared" ref="F379:N379" si="149">+F186+F185</f>
        <v>39.411387419105246</v>
      </c>
      <c r="G379" s="61">
        <f t="shared" si="149"/>
        <v>44.703837588494913</v>
      </c>
      <c r="H379" s="61">
        <f t="shared" si="149"/>
        <v>51.590073032207158</v>
      </c>
      <c r="I379" s="61">
        <f t="shared" si="149"/>
        <v>57.843672594079521</v>
      </c>
      <c r="J379" s="61">
        <f t="shared" si="149"/>
        <v>64.390245803960624</v>
      </c>
      <c r="K379" s="61">
        <f t="shared" si="149"/>
        <v>70.769085076556522</v>
      </c>
      <c r="L379" s="61">
        <f t="shared" si="149"/>
        <v>77.742186134418787</v>
      </c>
      <c r="M379" s="61">
        <f t="shared" si="149"/>
        <v>85.376804682429565</v>
      </c>
      <c r="N379" s="61">
        <f t="shared" si="149"/>
        <v>93.60082613624509</v>
      </c>
    </row>
    <row r="380" spans="2:15">
      <c r="B380" s="58" t="s">
        <v>379</v>
      </c>
      <c r="E380" s="142">
        <f>+E379/E180</f>
        <v>9.2128950112540034E-2</v>
      </c>
      <c r="F380" s="142">
        <f t="shared" ref="F380:N380" si="150">+F379/F180</f>
        <v>9.6099906030818999E-2</v>
      </c>
      <c r="G380" s="142">
        <f t="shared" si="150"/>
        <v>0.10058917806697609</v>
      </c>
      <c r="H380" s="142">
        <f t="shared" si="150"/>
        <v>0.10763084296622642</v>
      </c>
      <c r="I380" s="142">
        <f t="shared" si="150"/>
        <v>0.11220801862402684</v>
      </c>
      <c r="J380" s="142">
        <f t="shared" si="150"/>
        <v>0.11709892840393125</v>
      </c>
      <c r="K380" s="142">
        <f t="shared" si="150"/>
        <v>0.12123672933883936</v>
      </c>
      <c r="L380" s="142">
        <f t="shared" si="150"/>
        <v>0.12606899702659594</v>
      </c>
      <c r="M380" s="142">
        <f t="shared" si="150"/>
        <v>0.13105462847832181</v>
      </c>
      <c r="N380" s="142">
        <f t="shared" si="150"/>
        <v>0.13600443377303395</v>
      </c>
    </row>
    <row r="381" spans="2:15">
      <c r="B381" s="58" t="s">
        <v>377</v>
      </c>
    </row>
    <row r="382" spans="2:15">
      <c r="B382" s="58" t="s">
        <v>336</v>
      </c>
      <c r="I382" s="122">
        <f>AVERAGE(E376:I376)</f>
        <v>0.29764388082049215</v>
      </c>
      <c r="N382" s="122">
        <f>AVERAGE(J376:N376)</f>
        <v>0.31258742251790478</v>
      </c>
      <c r="O382" s="124">
        <f>+N382/I382-1</f>
        <v>5.0206110927659253E-2</v>
      </c>
    </row>
    <row r="383" spans="2:15">
      <c r="B383" s="58" t="s">
        <v>375</v>
      </c>
      <c r="I383" s="122">
        <f>AVERAGE(E377:I377)</f>
        <v>6.4410376201368774E-2</v>
      </c>
      <c r="N383" s="122">
        <f>AVERAGE(J377:N377)</f>
        <v>7.3174979190598829E-2</v>
      </c>
      <c r="O383" s="124">
        <f>+N383/I383-1</f>
        <v>0.13607439524695408</v>
      </c>
    </row>
    <row r="384" spans="2:15">
      <c r="B384" s="58" t="s">
        <v>376</v>
      </c>
      <c r="I384" s="120">
        <f>AVERAGE(E378:I378)</f>
        <v>4.1866744530889698E-2</v>
      </c>
      <c r="N384" s="122">
        <f>AVERAGE(J378:N378)</f>
        <v>4.7563736473889243E-2</v>
      </c>
      <c r="O384" s="124">
        <f>+N384/I384-1</f>
        <v>0.1360743952469543</v>
      </c>
    </row>
    <row r="385" spans="2:22">
      <c r="B385" s="58" t="s">
        <v>378</v>
      </c>
      <c r="I385" s="120">
        <f>AVERAGE(E379:I379)</f>
        <v>45.738263086777387</v>
      </c>
      <c r="N385" s="120">
        <f>AVERAGE(J379:N379)</f>
        <v>78.375829566722103</v>
      </c>
      <c r="O385" s="124">
        <f>+N385/I385-1</f>
        <v>0.71357249439102577</v>
      </c>
    </row>
    <row r="386" spans="2:22">
      <c r="B386" s="58" t="s">
        <v>379</v>
      </c>
      <c r="I386" s="124">
        <f>AVERAGE(E380:I380)</f>
        <v>0.10173137916011768</v>
      </c>
      <c r="N386" s="124">
        <f>AVERAGE(J380:N380)</f>
        <v>0.12629274340414448</v>
      </c>
      <c r="O386" s="124">
        <f>+N386/I386-1</f>
        <v>0.24143351291216675</v>
      </c>
    </row>
    <row r="387" spans="2:22">
      <c r="R387" s="114" t="s">
        <v>392</v>
      </c>
      <c r="S387">
        <v>7</v>
      </c>
      <c r="T387">
        <v>7</v>
      </c>
      <c r="U387">
        <v>8</v>
      </c>
      <c r="V387">
        <v>8</v>
      </c>
    </row>
    <row r="388" spans="2:22">
      <c r="J388" s="114" t="s">
        <v>383</v>
      </c>
      <c r="K388" s="114" t="s">
        <v>386</v>
      </c>
      <c r="L388" s="114" t="s">
        <v>387</v>
      </c>
      <c r="M388" s="114" t="s">
        <v>388</v>
      </c>
      <c r="N388" s="114" t="s">
        <v>389</v>
      </c>
      <c r="O388" s="114" t="s">
        <v>380</v>
      </c>
      <c r="P388" s="114" t="s">
        <v>385</v>
      </c>
      <c r="Q388" s="114" t="s">
        <v>384</v>
      </c>
      <c r="R388" s="114" t="s">
        <v>381</v>
      </c>
      <c r="S388" s="114" t="s">
        <v>390</v>
      </c>
      <c r="T388" s="114" t="s">
        <v>391</v>
      </c>
      <c r="U388" s="114" t="s">
        <v>390</v>
      </c>
      <c r="V388" s="114" t="s">
        <v>391</v>
      </c>
    </row>
    <row r="389" spans="2:22">
      <c r="I389" s="114" t="s">
        <v>382</v>
      </c>
      <c r="J389" s="151">
        <f>+L125</f>
        <v>-145.56440452449101</v>
      </c>
      <c r="K389" s="151">
        <f>+K360</f>
        <v>29.830670876085364</v>
      </c>
      <c r="L389" s="151">
        <f>+K312</f>
        <v>1.4614583559056851</v>
      </c>
      <c r="M389" s="151">
        <f>+K309</f>
        <v>9.3366287563290804</v>
      </c>
      <c r="N389" s="151">
        <f>+K310</f>
        <v>21.955500475661765</v>
      </c>
      <c r="O389" s="151">
        <f>+L313</f>
        <v>-67.081979138506753</v>
      </c>
      <c r="P389" s="152">
        <f>+L312</f>
        <v>1.2083079489129767</v>
      </c>
      <c r="Q389" s="151">
        <f>+L309</f>
        <v>-91.695507635144068</v>
      </c>
      <c r="R389" s="151">
        <f>+L310</f>
        <v>25.821836445550296</v>
      </c>
      <c r="S389" s="125">
        <f>+K389+L389</f>
        <v>31.292129231991048</v>
      </c>
      <c r="T389" s="125">
        <f>+M389+N389</f>
        <v>31.292129231990845</v>
      </c>
      <c r="U389" s="125">
        <f>+O389+P389</f>
        <v>-65.873671189593779</v>
      </c>
      <c r="V389" s="125">
        <f>+Q389+R389</f>
        <v>-65.873671189593779</v>
      </c>
    </row>
    <row r="390" spans="2:22">
      <c r="I390" s="59">
        <v>0</v>
      </c>
      <c r="J390" s="151">
        <f t="dataTable" ref="J390:R400" dt2D="0" dtr="0" r1="J30" ca="1"/>
        <v>-144.36305222491444</v>
      </c>
      <c r="K390" s="151">
        <v>29.830670876085172</v>
      </c>
      <c r="L390" s="151">
        <v>1.4614583559056851</v>
      </c>
      <c r="M390" s="151">
        <v>9.3366287563290804</v>
      </c>
      <c r="N390" s="151">
        <v>21.955500475661765</v>
      </c>
      <c r="O390" s="151">
        <v>-33.103777437785645</v>
      </c>
      <c r="P390" s="152">
        <v>1.2083079489129767</v>
      </c>
      <c r="Q390" s="151">
        <v>-58.407512456279321</v>
      </c>
      <c r="R390" s="151">
        <v>26.51204296740665</v>
      </c>
      <c r="S390" s="125">
        <f t="shared" ref="S390:S400" si="151">+K390+L390</f>
        <v>31.292129231990856</v>
      </c>
      <c r="T390" s="125">
        <f t="shared" ref="T390:T400" si="152">+M390+N390</f>
        <v>31.292129231990845</v>
      </c>
      <c r="U390" s="125">
        <f t="shared" ref="U390:U400" si="153">+O390+P390</f>
        <v>-31.895469488872667</v>
      </c>
      <c r="V390" s="125">
        <f t="shared" ref="V390:V400" si="154">+Q390+R390</f>
        <v>-31.895469488872671</v>
      </c>
    </row>
    <row r="391" spans="2:22">
      <c r="I391" s="59">
        <v>0.01</v>
      </c>
      <c r="J391" s="151">
        <v>-144.59408151329455</v>
      </c>
      <c r="K391" s="151">
        <v>29.830670876085243</v>
      </c>
      <c r="L391" s="151">
        <v>1.4614583559056851</v>
      </c>
      <c r="M391" s="151">
        <v>9.3366287563290804</v>
      </c>
      <c r="N391" s="151">
        <v>21.955500475661765</v>
      </c>
      <c r="O391" s="151">
        <v>-39.638046995616662</v>
      </c>
      <c r="P391" s="152">
        <v>1.2083079489129767</v>
      </c>
      <c r="Q391" s="151">
        <v>-64.809049990676428</v>
      </c>
      <c r="R391" s="151">
        <v>26.379310943972737</v>
      </c>
      <c r="S391" s="125">
        <f t="shared" si="151"/>
        <v>31.292129231990927</v>
      </c>
      <c r="T391" s="125">
        <f t="shared" si="152"/>
        <v>31.292129231990845</v>
      </c>
      <c r="U391" s="125">
        <f t="shared" si="153"/>
        <v>-38.429739046703688</v>
      </c>
      <c r="V391" s="125">
        <f t="shared" si="154"/>
        <v>-38.429739046703688</v>
      </c>
    </row>
    <row r="392" spans="2:22">
      <c r="I392" s="59">
        <v>0.02</v>
      </c>
      <c r="J392" s="151">
        <v>-144.82511080167455</v>
      </c>
      <c r="K392" s="151">
        <v>29.830670876085165</v>
      </c>
      <c r="L392" s="151">
        <v>1.4614583559056851</v>
      </c>
      <c r="M392" s="151">
        <v>9.3366287563290804</v>
      </c>
      <c r="N392" s="151">
        <v>21.955500475661765</v>
      </c>
      <c r="O392" s="151">
        <v>-46.17231655344743</v>
      </c>
      <c r="P392" s="152">
        <v>1.2083079489129767</v>
      </c>
      <c r="Q392" s="151">
        <v>-71.210587525073279</v>
      </c>
      <c r="R392" s="151">
        <v>26.246578920538823</v>
      </c>
      <c r="S392" s="125">
        <f t="shared" si="151"/>
        <v>31.292129231990849</v>
      </c>
      <c r="T392" s="125">
        <f t="shared" si="152"/>
        <v>31.292129231990845</v>
      </c>
      <c r="U392" s="125">
        <f t="shared" si="153"/>
        <v>-44.964008604534456</v>
      </c>
      <c r="V392" s="125">
        <f t="shared" si="154"/>
        <v>-44.964008604534456</v>
      </c>
    </row>
    <row r="393" spans="2:22">
      <c r="I393" s="59">
        <v>0.03</v>
      </c>
      <c r="J393" s="151">
        <v>-145.05614009005467</v>
      </c>
      <c r="K393" s="151">
        <v>29.83067087608525</v>
      </c>
      <c r="L393" s="151">
        <v>1.4614583559056851</v>
      </c>
      <c r="M393" s="151">
        <v>9.3366287563290804</v>
      </c>
      <c r="N393" s="151">
        <v>21.955500475661765</v>
      </c>
      <c r="O393" s="151">
        <v>-52.706586111278511</v>
      </c>
      <c r="P393" s="152">
        <v>1.2083079489129767</v>
      </c>
      <c r="Q393" s="151">
        <v>-77.612125059470443</v>
      </c>
      <c r="R393" s="151">
        <v>26.113846897104906</v>
      </c>
      <c r="S393" s="125">
        <f t="shared" si="151"/>
        <v>31.292129231990934</v>
      </c>
      <c r="T393" s="125">
        <f t="shared" si="152"/>
        <v>31.292129231990845</v>
      </c>
      <c r="U393" s="125">
        <f t="shared" si="153"/>
        <v>-51.498278162365537</v>
      </c>
      <c r="V393" s="125">
        <f t="shared" si="154"/>
        <v>-51.498278162365537</v>
      </c>
    </row>
    <row r="394" spans="2:22">
      <c r="I394" s="59">
        <v>0.04</v>
      </c>
      <c r="J394" s="151">
        <v>-145.2871693784349</v>
      </c>
      <c r="K394" s="151">
        <v>29.830670876085321</v>
      </c>
      <c r="L394" s="151">
        <v>1.4614583559056851</v>
      </c>
      <c r="M394" s="151">
        <v>9.3366287563290804</v>
      </c>
      <c r="N394" s="151">
        <v>21.955500475661765</v>
      </c>
      <c r="O394" s="151">
        <v>-59.240855669109649</v>
      </c>
      <c r="P394" s="152">
        <v>1.2083079489129767</v>
      </c>
      <c r="Q394" s="151">
        <v>-84.013662593867664</v>
      </c>
      <c r="R394" s="151">
        <v>25.981114873670993</v>
      </c>
      <c r="S394" s="125">
        <f t="shared" si="151"/>
        <v>31.292129231991005</v>
      </c>
      <c r="T394" s="125">
        <f t="shared" si="152"/>
        <v>31.292129231990845</v>
      </c>
      <c r="U394" s="125">
        <f t="shared" si="153"/>
        <v>-58.032547720196675</v>
      </c>
      <c r="V394" s="125">
        <f t="shared" si="154"/>
        <v>-58.032547720196675</v>
      </c>
    </row>
    <row r="395" spans="2:22">
      <c r="I395" s="59">
        <v>0.05</v>
      </c>
      <c r="J395" s="151">
        <v>-145.5181986668149</v>
      </c>
      <c r="K395" s="151">
        <v>29.830670876085286</v>
      </c>
      <c r="L395" s="151">
        <v>1.4614583559056851</v>
      </c>
      <c r="M395" s="151">
        <v>9.3366287563290804</v>
      </c>
      <c r="N395" s="151">
        <v>21.955500475661765</v>
      </c>
      <c r="O395" s="151">
        <v>-65.775125226940418</v>
      </c>
      <c r="P395" s="152">
        <v>1.2083079489129767</v>
      </c>
      <c r="Q395" s="151">
        <v>-90.415200128264516</v>
      </c>
      <c r="R395" s="151">
        <v>25.848382850237073</v>
      </c>
      <c r="S395" s="125">
        <f t="shared" si="151"/>
        <v>31.29212923199097</v>
      </c>
      <c r="T395" s="125">
        <f t="shared" si="152"/>
        <v>31.292129231990845</v>
      </c>
      <c r="U395" s="125">
        <f t="shared" si="153"/>
        <v>-64.566817278027443</v>
      </c>
      <c r="V395" s="125">
        <f t="shared" si="154"/>
        <v>-64.566817278027443</v>
      </c>
    </row>
    <row r="396" spans="2:22">
      <c r="I396" s="59">
        <v>0.06</v>
      </c>
      <c r="J396" s="151">
        <v>-145.74922795519501</v>
      </c>
      <c r="K396" s="151">
        <v>29.830670876085236</v>
      </c>
      <c r="L396" s="151">
        <v>1.4614583559056851</v>
      </c>
      <c r="M396" s="151">
        <v>9.3366287563290804</v>
      </c>
      <c r="N396" s="151">
        <v>21.955500475661765</v>
      </c>
      <c r="O396" s="151">
        <v>-72.309394784771328</v>
      </c>
      <c r="P396" s="152">
        <v>1.2083079489129767</v>
      </c>
      <c r="Q396" s="151">
        <v>-96.816737662661509</v>
      </c>
      <c r="R396" s="151">
        <v>25.715650826803163</v>
      </c>
      <c r="S396" s="125">
        <f t="shared" si="151"/>
        <v>31.29212923199092</v>
      </c>
      <c r="T396" s="125">
        <f t="shared" si="152"/>
        <v>31.292129231990845</v>
      </c>
      <c r="U396" s="125">
        <f t="shared" si="153"/>
        <v>-71.101086835858354</v>
      </c>
      <c r="V396" s="125">
        <f t="shared" si="154"/>
        <v>-71.101086835858354</v>
      </c>
    </row>
    <row r="397" spans="2:22">
      <c r="I397" s="59">
        <v>7.0000000000000007E-2</v>
      </c>
      <c r="J397" s="151">
        <v>-145.98025724357512</v>
      </c>
      <c r="K397" s="151">
        <v>29.8306708760852</v>
      </c>
      <c r="L397" s="151">
        <v>1.4614583559056851</v>
      </c>
      <c r="M397" s="151">
        <v>9.3366287563290804</v>
      </c>
      <c r="N397" s="151">
        <v>21.955500475661765</v>
      </c>
      <c r="O397" s="151">
        <v>-78.843664342602253</v>
      </c>
      <c r="P397" s="152">
        <v>1.2083079489129767</v>
      </c>
      <c r="Q397" s="151">
        <v>-103.21827519705853</v>
      </c>
      <c r="R397" s="151">
        <v>25.58291880336925</v>
      </c>
      <c r="S397" s="125">
        <f t="shared" si="151"/>
        <v>31.292129231990884</v>
      </c>
      <c r="T397" s="125">
        <f t="shared" si="152"/>
        <v>31.292129231990845</v>
      </c>
      <c r="U397" s="125">
        <f t="shared" si="153"/>
        <v>-77.635356393689278</v>
      </c>
      <c r="V397" s="125">
        <f t="shared" si="154"/>
        <v>-77.635356393689278</v>
      </c>
    </row>
    <row r="398" spans="2:22">
      <c r="I398" s="59">
        <v>0.08</v>
      </c>
      <c r="J398" s="151">
        <v>-146.21128653195512</v>
      </c>
      <c r="K398" s="151">
        <v>29.830670876085236</v>
      </c>
      <c r="L398" s="151">
        <v>1.4614583559056851</v>
      </c>
      <c r="M398" s="151">
        <v>9.3366287563290804</v>
      </c>
      <c r="N398" s="151">
        <v>21.955500475661765</v>
      </c>
      <c r="O398" s="151">
        <v>-85.377933900433163</v>
      </c>
      <c r="P398" s="152">
        <v>1.2083079489129767</v>
      </c>
      <c r="Q398" s="151">
        <v>-109.61981273145553</v>
      </c>
      <c r="R398" s="151">
        <v>25.450186779935336</v>
      </c>
      <c r="S398" s="125">
        <f t="shared" si="151"/>
        <v>31.29212923199092</v>
      </c>
      <c r="T398" s="125">
        <f t="shared" si="152"/>
        <v>31.292129231990845</v>
      </c>
      <c r="U398" s="125">
        <f t="shared" si="153"/>
        <v>-84.169625951520189</v>
      </c>
      <c r="V398" s="125">
        <f t="shared" si="154"/>
        <v>-84.169625951520189</v>
      </c>
    </row>
    <row r="399" spans="2:22">
      <c r="I399" s="59">
        <v>0.09</v>
      </c>
      <c r="J399" s="151">
        <v>-146.44231582033512</v>
      </c>
      <c r="K399" s="151">
        <v>29.8306708760852</v>
      </c>
      <c r="L399" s="151">
        <v>1.4614583559056851</v>
      </c>
      <c r="M399" s="151">
        <v>9.3366287563290804</v>
      </c>
      <c r="N399" s="151">
        <v>21.955500475661765</v>
      </c>
      <c r="O399" s="151">
        <v>-91.912203458263932</v>
      </c>
      <c r="P399" s="152">
        <v>1.2083079489129767</v>
      </c>
      <c r="Q399" s="151">
        <v>-116.02135026585238</v>
      </c>
      <c r="R399" s="151">
        <v>25.317454756501416</v>
      </c>
      <c r="S399" s="125">
        <f t="shared" si="151"/>
        <v>31.292129231990884</v>
      </c>
      <c r="T399" s="125">
        <f t="shared" si="152"/>
        <v>31.292129231990845</v>
      </c>
      <c r="U399" s="125">
        <f t="shared" si="153"/>
        <v>-90.703895509350957</v>
      </c>
      <c r="V399" s="125">
        <f t="shared" si="154"/>
        <v>-90.703895509350957</v>
      </c>
    </row>
    <row r="400" spans="2:22">
      <c r="I400" s="59">
        <v>0.1</v>
      </c>
      <c r="J400" s="151">
        <v>-146.67334510871524</v>
      </c>
      <c r="K400" s="151">
        <v>29.830670876085144</v>
      </c>
      <c r="L400" s="151">
        <v>1.4614583559056851</v>
      </c>
      <c r="M400" s="151">
        <v>9.3366287563290804</v>
      </c>
      <c r="N400" s="151">
        <v>21.955500475661765</v>
      </c>
      <c r="O400" s="151">
        <v>-98.44647301609487</v>
      </c>
      <c r="P400" s="152">
        <v>1.2083079489129767</v>
      </c>
      <c r="Q400" s="151">
        <v>-122.4228878002494</v>
      </c>
      <c r="R400" s="151">
        <v>25.184722733067503</v>
      </c>
      <c r="S400" s="125">
        <f t="shared" si="151"/>
        <v>31.292129231990828</v>
      </c>
      <c r="T400" s="125">
        <f t="shared" si="152"/>
        <v>31.292129231990845</v>
      </c>
      <c r="U400" s="125">
        <f t="shared" si="153"/>
        <v>-97.238165067181896</v>
      </c>
      <c r="V400" s="125">
        <f t="shared" si="154"/>
        <v>-97.238165067181896</v>
      </c>
    </row>
    <row r="402" spans="2:20">
      <c r="J402" s="114" t="s">
        <v>394</v>
      </c>
    </row>
    <row r="403" spans="2:20">
      <c r="I403" s="151">
        <f>+O389</f>
        <v>-67.081979138506753</v>
      </c>
      <c r="J403" s="59">
        <v>0</v>
      </c>
      <c r="K403" s="59">
        <v>0.01</v>
      </c>
      <c r="L403" s="59">
        <v>0.02</v>
      </c>
      <c r="M403" s="59">
        <v>0.03</v>
      </c>
      <c r="N403" s="59">
        <v>0.04</v>
      </c>
      <c r="O403" s="59">
        <v>0.05</v>
      </c>
      <c r="P403" s="59">
        <v>0.06</v>
      </c>
      <c r="Q403" s="59">
        <v>7.0000000000000007E-2</v>
      </c>
      <c r="R403" s="59">
        <v>0.08</v>
      </c>
      <c r="S403" s="59">
        <v>0.09</v>
      </c>
      <c r="T403" s="59">
        <v>0.1</v>
      </c>
    </row>
    <row r="404" spans="2:20">
      <c r="I404" s="59">
        <v>0</v>
      </c>
      <c r="J404" s="151">
        <f t="dataTable" ref="J404:T414" dt2D="1" dtr="0" r1="J29" r2="J30"/>
        <v>-7.5528148108845077</v>
      </c>
      <c r="K404" s="151">
        <v>-11.840321962911348</v>
      </c>
      <c r="L404" s="151">
        <v>-16.127829114938542</v>
      </c>
      <c r="M404" s="151">
        <v>-20.41533626696538</v>
      </c>
      <c r="N404" s="151">
        <v>-24.702843418992426</v>
      </c>
      <c r="O404" s="151">
        <v>-28.990350571019235</v>
      </c>
      <c r="P404" s="151">
        <v>-33.277857723046274</v>
      </c>
      <c r="Q404" s="151">
        <v>-37.565364875073271</v>
      </c>
      <c r="R404" s="151">
        <v>-41.852872027100126</v>
      </c>
      <c r="S404" s="151">
        <v>-46.140379179127152</v>
      </c>
      <c r="T404" s="151">
        <v>-50.427886331154085</v>
      </c>
    </row>
    <row r="405" spans="2:20">
      <c r="H405" s="114" t="s">
        <v>393</v>
      </c>
      <c r="I405" s="59">
        <v>0.01</v>
      </c>
      <c r="J405" s="151">
        <v>-14.087084368715542</v>
      </c>
      <c r="K405" s="151">
        <v>-18.374591520742268</v>
      </c>
      <c r="L405" s="151">
        <v>-22.662098672769432</v>
      </c>
      <c r="M405" s="151">
        <v>-26.949605824796272</v>
      </c>
      <c r="N405" s="151">
        <v>-31.237112976823198</v>
      </c>
      <c r="O405" s="151">
        <v>-35.524620128850167</v>
      </c>
      <c r="P405" s="151">
        <v>-39.812127280877185</v>
      </c>
      <c r="Q405" s="151">
        <v>-44.099634432904153</v>
      </c>
      <c r="R405" s="151">
        <v>-48.38714158493115</v>
      </c>
      <c r="S405" s="151">
        <v>-52.674648736958055</v>
      </c>
      <c r="T405" s="151">
        <v>-56.962155888985109</v>
      </c>
    </row>
    <row r="406" spans="2:20">
      <c r="I406" s="59">
        <v>0.02</v>
      </c>
      <c r="J406" s="151">
        <v>-20.621353926546426</v>
      </c>
      <c r="K406" s="151">
        <v>-24.908861078573278</v>
      </c>
      <c r="L406" s="151">
        <v>-29.196368230600346</v>
      </c>
      <c r="M406" s="151">
        <v>-33.483875382627176</v>
      </c>
      <c r="N406" s="151">
        <v>-37.771382534654244</v>
      </c>
      <c r="O406" s="151">
        <v>-42.058889686681049</v>
      </c>
      <c r="P406" s="151">
        <v>-46.346396838708195</v>
      </c>
      <c r="Q406" s="151">
        <v>-50.63390399073517</v>
      </c>
      <c r="R406" s="151">
        <v>-54.921411142762054</v>
      </c>
      <c r="S406" s="151">
        <v>-59.208918294789108</v>
      </c>
      <c r="T406" s="151">
        <v>-63.496425446815934</v>
      </c>
    </row>
    <row r="407" spans="2:20">
      <c r="I407" s="59">
        <v>0.03</v>
      </c>
      <c r="J407" s="151">
        <v>-27.155623484377372</v>
      </c>
      <c r="K407" s="151">
        <v>-31.443130636404064</v>
      </c>
      <c r="L407" s="151">
        <v>-35.730637788431252</v>
      </c>
      <c r="M407" s="151">
        <v>-40.018144940458214</v>
      </c>
      <c r="N407" s="151">
        <v>-44.305652092485147</v>
      </c>
      <c r="O407" s="151">
        <v>-48.593159244512094</v>
      </c>
      <c r="P407" s="151">
        <v>-52.880666396539119</v>
      </c>
      <c r="Q407" s="151">
        <v>-57.168173548566081</v>
      </c>
      <c r="R407" s="151">
        <v>-61.455680700592964</v>
      </c>
      <c r="S407" s="151">
        <v>-65.743187852619883</v>
      </c>
      <c r="T407" s="151">
        <v>-70.030695004646944</v>
      </c>
    </row>
    <row r="408" spans="2:20">
      <c r="I408" s="59">
        <v>0.04</v>
      </c>
      <c r="J408" s="151">
        <v>-33.68989304220834</v>
      </c>
      <c r="K408" s="151">
        <v>-37.977400194235187</v>
      </c>
      <c r="L408" s="151">
        <v>-42.264907346262376</v>
      </c>
      <c r="M408" s="151">
        <v>-46.55241449828921</v>
      </c>
      <c r="N408" s="151">
        <v>-50.839921650316299</v>
      </c>
      <c r="O408" s="151">
        <v>-55.127428802343005</v>
      </c>
      <c r="P408" s="151">
        <v>-59.414935954370137</v>
      </c>
      <c r="Q408" s="151">
        <v>-63.702443106397126</v>
      </c>
      <c r="R408" s="151">
        <v>-67.98995025842413</v>
      </c>
      <c r="S408" s="151">
        <v>-72.277457410451007</v>
      </c>
      <c r="T408" s="151">
        <v>-76.564964562478011</v>
      </c>
    </row>
    <row r="409" spans="2:20">
      <c r="I409" s="59">
        <v>0.05</v>
      </c>
      <c r="J409" s="151">
        <v>-40.224162600039406</v>
      </c>
      <c r="K409" s="151">
        <v>-44.511669752066133</v>
      </c>
      <c r="L409" s="151">
        <v>-48.79917690409318</v>
      </c>
      <c r="M409" s="151">
        <v>-53.086684056120092</v>
      </c>
      <c r="N409" s="151">
        <v>-57.37419120814706</v>
      </c>
      <c r="O409" s="151">
        <v>-61.661698360174029</v>
      </c>
      <c r="P409" s="151">
        <v>-65.949205512201047</v>
      </c>
      <c r="Q409" s="151">
        <v>-70.236712664228051</v>
      </c>
      <c r="R409" s="151">
        <v>-74.524219816255041</v>
      </c>
      <c r="S409" s="151">
        <v>-78.811726968281917</v>
      </c>
      <c r="T409" s="151">
        <v>-83.099234120308992</v>
      </c>
    </row>
    <row r="410" spans="2:20">
      <c r="I410" s="59">
        <v>0.06</v>
      </c>
      <c r="J410" s="151">
        <v>-46.758432157870189</v>
      </c>
      <c r="K410" s="151">
        <v>-51.045939309897008</v>
      </c>
      <c r="L410" s="151">
        <v>-55.333446461924098</v>
      </c>
      <c r="M410" s="151">
        <v>-59.620953613950888</v>
      </c>
      <c r="N410" s="151">
        <v>-63.908460765977964</v>
      </c>
      <c r="O410" s="151">
        <v>-68.195967918004811</v>
      </c>
      <c r="P410" s="151">
        <v>-72.483475070031986</v>
      </c>
      <c r="Q410" s="151">
        <v>-76.770982222058919</v>
      </c>
      <c r="R410" s="151">
        <v>-81.058489374085809</v>
      </c>
      <c r="S410" s="151">
        <v>-85.345996526112742</v>
      </c>
      <c r="T410" s="151">
        <v>-89.633503678139675</v>
      </c>
    </row>
    <row r="411" spans="2:20">
      <c r="I411" s="59">
        <v>7.0000000000000007E-2</v>
      </c>
      <c r="J411" s="151">
        <v>-53.292701715701099</v>
      </c>
      <c r="K411" s="151">
        <v>-57.580208867727805</v>
      </c>
      <c r="L411" s="151">
        <v>-61.867716019754994</v>
      </c>
      <c r="M411" s="151">
        <v>-66.155223171781969</v>
      </c>
      <c r="N411" s="151">
        <v>-70.442730323808874</v>
      </c>
      <c r="O411" s="151">
        <v>-74.730237475835835</v>
      </c>
      <c r="P411" s="151">
        <v>-79.017744627862783</v>
      </c>
      <c r="Q411" s="151">
        <v>-83.305251779889744</v>
      </c>
      <c r="R411" s="151">
        <v>-87.59275893191672</v>
      </c>
      <c r="S411" s="151">
        <v>-91.880266083943653</v>
      </c>
      <c r="T411" s="151">
        <v>-96.167773235970728</v>
      </c>
    </row>
    <row r="412" spans="2:20">
      <c r="I412" s="59">
        <v>0.08</v>
      </c>
      <c r="J412" s="151">
        <v>-59.826971273531896</v>
      </c>
      <c r="K412" s="151">
        <v>-64.114478425558715</v>
      </c>
      <c r="L412" s="151">
        <v>-68.401985577585876</v>
      </c>
      <c r="M412" s="151">
        <v>-72.68949272961261</v>
      </c>
      <c r="N412" s="151">
        <v>-76.976999881639699</v>
      </c>
      <c r="O412" s="151">
        <v>-81.264507033666533</v>
      </c>
      <c r="P412" s="151">
        <v>-85.552014185693693</v>
      </c>
      <c r="Q412" s="151">
        <v>-89.839521337720683</v>
      </c>
      <c r="R412" s="151">
        <v>-94.127028489747644</v>
      </c>
      <c r="S412" s="151">
        <v>-98.414535641774563</v>
      </c>
      <c r="T412" s="151">
        <v>-102.7020427938015</v>
      </c>
    </row>
    <row r="413" spans="2:20">
      <c r="I413" s="59">
        <v>0.09</v>
      </c>
      <c r="J413" s="151">
        <v>-66.361240831362906</v>
      </c>
      <c r="K413" s="151">
        <v>-70.648747983389626</v>
      </c>
      <c r="L413" s="151">
        <v>-74.936255135416729</v>
      </c>
      <c r="M413" s="151">
        <v>-79.223762287443677</v>
      </c>
      <c r="N413" s="151">
        <v>-83.51126943947061</v>
      </c>
      <c r="O413" s="151">
        <v>-87.798776591497543</v>
      </c>
      <c r="P413" s="151">
        <v>-92.086283743524561</v>
      </c>
      <c r="Q413" s="151">
        <v>-96.373790895551565</v>
      </c>
      <c r="R413" s="151">
        <v>-100.66129804757855</v>
      </c>
      <c r="S413" s="151">
        <v>-104.94880519960563</v>
      </c>
      <c r="T413" s="151">
        <v>-109.23631235163245</v>
      </c>
    </row>
    <row r="414" spans="2:20">
      <c r="I414" s="59">
        <v>0.1</v>
      </c>
      <c r="J414" s="151">
        <v>-72.895510389193589</v>
      </c>
      <c r="K414" s="151">
        <v>-77.183017541220451</v>
      </c>
      <c r="L414" s="151">
        <v>-81.470524693247611</v>
      </c>
      <c r="M414" s="151">
        <v>-85.758031845274431</v>
      </c>
      <c r="N414" s="151">
        <v>-90.04553899730152</v>
      </c>
      <c r="O414" s="151">
        <v>-94.333046149328354</v>
      </c>
      <c r="P414" s="151">
        <v>-98.620553301355471</v>
      </c>
      <c r="Q414" s="151">
        <v>-102.90806045338246</v>
      </c>
      <c r="R414" s="151">
        <v>-107.19556760540931</v>
      </c>
      <c r="S414" s="151">
        <v>-111.48307475743624</v>
      </c>
      <c r="T414" s="151">
        <v>-115.77058190946319</v>
      </c>
    </row>
    <row r="416" spans="2:20">
      <c r="B416" s="121" t="s">
        <v>395</v>
      </c>
    </row>
    <row r="417" spans="2:14">
      <c r="B417" s="121"/>
    </row>
    <row r="418" spans="2:14">
      <c r="B418" s="58" t="str">
        <f>+B321</f>
        <v>Working capital</v>
      </c>
    </row>
    <row r="419" spans="2:14">
      <c r="I419" s="58"/>
      <c r="J419" s="58"/>
      <c r="K419" s="58"/>
      <c r="L419" s="58"/>
      <c r="M419" s="58"/>
      <c r="N419" s="58"/>
    </row>
    <row r="420" spans="2:14">
      <c r="B420" s="58" t="str">
        <f t="shared" ref="B420:B428" si="155">+B323</f>
        <v>Accounts receivable</v>
      </c>
      <c r="I420" s="153">
        <f t="shared" ref="I420:N421" si="156">+I323</f>
        <v>15.465117369524673</v>
      </c>
      <c r="J420" s="153">
        <f t="shared" si="156"/>
        <v>28.593709843834436</v>
      </c>
      <c r="K420" s="153">
        <f t="shared" si="156"/>
        <v>30.353775164091449</v>
      </c>
      <c r="L420" s="153">
        <f t="shared" si="156"/>
        <v>32.06651733841381</v>
      </c>
      <c r="M420" s="153">
        <f t="shared" si="156"/>
        <v>33.875902705875866</v>
      </c>
      <c r="N420" s="153">
        <f t="shared" si="156"/>
        <v>35.787384455474928</v>
      </c>
    </row>
    <row r="421" spans="2:14">
      <c r="B421" s="58" t="str">
        <f t="shared" si="155"/>
        <v>Inventory</v>
      </c>
      <c r="I421" s="153">
        <f t="shared" si="156"/>
        <v>30.262332419423046</v>
      </c>
      <c r="J421" s="153">
        <f t="shared" si="156"/>
        <v>22.793653030238005</v>
      </c>
      <c r="K421" s="153">
        <f t="shared" si="156"/>
        <v>24.082931808452575</v>
      </c>
      <c r="L421" s="153">
        <f t="shared" si="156"/>
        <v>25.322212777364907</v>
      </c>
      <c r="M421" s="153">
        <f t="shared" si="156"/>
        <v>26.625265770884692</v>
      </c>
      <c r="N421" s="153">
        <f t="shared" si="156"/>
        <v>27.995372426690992</v>
      </c>
    </row>
    <row r="422" spans="2:14">
      <c r="I422" s="153"/>
      <c r="J422" s="153"/>
      <c r="K422" s="153"/>
      <c r="L422" s="153"/>
      <c r="M422" s="153"/>
      <c r="N422" s="153"/>
    </row>
    <row r="423" spans="2:14">
      <c r="B423" s="58" t="str">
        <f t="shared" si="155"/>
        <v>Current assets</v>
      </c>
      <c r="I423" s="153">
        <f t="shared" ref="I423:N423" si="157">+I421+I420</f>
        <v>45.727449788947723</v>
      </c>
      <c r="J423" s="153">
        <f t="shared" si="157"/>
        <v>51.387362874072437</v>
      </c>
      <c r="K423" s="153">
        <f t="shared" si="157"/>
        <v>54.436706972544023</v>
      </c>
      <c r="L423" s="153">
        <f t="shared" si="157"/>
        <v>57.388730115778714</v>
      </c>
      <c r="M423" s="153">
        <f t="shared" si="157"/>
        <v>60.501168476760554</v>
      </c>
      <c r="N423" s="153">
        <f t="shared" si="157"/>
        <v>63.78275688216592</v>
      </c>
    </row>
    <row r="424" spans="2:14">
      <c r="B424" s="58">
        <f t="shared" si="155"/>
        <v>0</v>
      </c>
      <c r="I424" s="153"/>
      <c r="J424" s="153"/>
      <c r="K424" s="153"/>
      <c r="L424" s="153"/>
      <c r="M424" s="153"/>
      <c r="N424" s="153"/>
    </row>
    <row r="425" spans="2:14">
      <c r="B425" s="58" t="str">
        <f t="shared" si="155"/>
        <v>Accounts payable</v>
      </c>
      <c r="I425" s="153">
        <f t="shared" ref="I425:N426" si="158">+I328</f>
        <v>28.842835522782821</v>
      </c>
      <c r="J425" s="153">
        <f t="shared" si="158"/>
        <v>35.494867735557193</v>
      </c>
      <c r="K425" s="153">
        <f t="shared" si="158"/>
        <v>38.425465721116666</v>
      </c>
      <c r="L425" s="153">
        <f t="shared" si="158"/>
        <v>40.402797582890173</v>
      </c>
      <c r="M425" s="153">
        <f t="shared" si="158"/>
        <v>42.481880749903894</v>
      </c>
      <c r="N425" s="153">
        <f t="shared" si="158"/>
        <v>44.667951231508653</v>
      </c>
    </row>
    <row r="426" spans="2:14">
      <c r="B426" s="58" t="str">
        <f t="shared" si="155"/>
        <v>Current liabilities</v>
      </c>
      <c r="I426" s="153">
        <f t="shared" si="158"/>
        <v>28.842835522782821</v>
      </c>
      <c r="J426" s="153">
        <f t="shared" si="158"/>
        <v>35.494867735557193</v>
      </c>
      <c r="K426" s="153">
        <f t="shared" si="158"/>
        <v>38.425465721116666</v>
      </c>
      <c r="L426" s="153">
        <f t="shared" si="158"/>
        <v>40.402797582890173</v>
      </c>
      <c r="M426" s="153">
        <f t="shared" si="158"/>
        <v>42.481880749903894</v>
      </c>
      <c r="N426" s="153">
        <f t="shared" si="158"/>
        <v>44.667951231508653</v>
      </c>
    </row>
    <row r="427" spans="2:14" ht="22.5">
      <c r="B427" s="58" t="str">
        <f t="shared" si="155"/>
        <v>Working capital = Current assets - Current liabilities+Short term debt</v>
      </c>
      <c r="I427" s="153">
        <f t="shared" ref="I427:N427" si="159">+I423-I426</f>
        <v>16.884614266164903</v>
      </c>
      <c r="J427" s="153">
        <f t="shared" si="159"/>
        <v>15.892495138515244</v>
      </c>
      <c r="K427" s="153">
        <f t="shared" si="159"/>
        <v>16.011241251427357</v>
      </c>
      <c r="L427" s="153">
        <f t="shared" si="159"/>
        <v>16.98593253288854</v>
      </c>
      <c r="M427" s="153">
        <f t="shared" si="159"/>
        <v>18.01928772685666</v>
      </c>
      <c r="N427" s="153">
        <f t="shared" si="159"/>
        <v>19.114805650657267</v>
      </c>
    </row>
    <row r="428" spans="2:14">
      <c r="B428" s="58" t="str">
        <f t="shared" si="155"/>
        <v>Change in working capital</v>
      </c>
      <c r="I428" s="153"/>
      <c r="J428" s="153">
        <f>+J427-I427</f>
        <v>-0.99211912764965859</v>
      </c>
      <c r="K428" s="153">
        <f>+K427-J427</f>
        <v>0.11874611291211323</v>
      </c>
      <c r="L428" s="153">
        <f>+L427-K427</f>
        <v>0.97469128146118322</v>
      </c>
      <c r="M428" s="153">
        <f>+M427-L427</f>
        <v>1.03335519396812</v>
      </c>
      <c r="N428" s="153">
        <f>+N427-M427</f>
        <v>1.0955179238006068</v>
      </c>
    </row>
    <row r="429" spans="2:14">
      <c r="I429" s="153"/>
      <c r="J429" s="153"/>
      <c r="K429" s="153"/>
      <c r="L429" s="153"/>
      <c r="M429" s="153"/>
      <c r="N429" s="153"/>
    </row>
    <row r="430" spans="2:14">
      <c r="B430" s="154" t="s">
        <v>397</v>
      </c>
      <c r="C430" s="155"/>
      <c r="D430" s="155"/>
      <c r="E430" s="155"/>
      <c r="F430" s="155"/>
      <c r="G430" s="155"/>
      <c r="H430" s="155"/>
      <c r="I430" s="155"/>
      <c r="J430" s="156">
        <f>+J331</f>
        <v>23.71927217260675</v>
      </c>
      <c r="K430" s="156">
        <f>+K331</f>
        <v>22.948405691830132</v>
      </c>
      <c r="L430" s="156">
        <f>+L331</f>
        <v>-75.124175572208983</v>
      </c>
      <c r="M430" s="156">
        <f>+M331</f>
        <v>19.530555684845027</v>
      </c>
      <c r="N430" s="156">
        <f>+N331</f>
        <v>45.778141650376909</v>
      </c>
    </row>
    <row r="431" spans="2:14">
      <c r="B431" s="121"/>
      <c r="J431" s="60"/>
      <c r="K431" s="60"/>
      <c r="L431" s="60"/>
      <c r="M431" s="60"/>
      <c r="N431" s="60"/>
    </row>
    <row r="432" spans="2:14">
      <c r="B432" s="153" t="str">
        <f>+B333</f>
        <v>Tax savings</v>
      </c>
      <c r="C432" s="153"/>
      <c r="D432" s="153"/>
      <c r="E432" s="153"/>
      <c r="F432" s="153"/>
      <c r="G432" s="153"/>
      <c r="H432" s="153"/>
      <c r="I432" s="153"/>
      <c r="J432" s="153">
        <f t="shared" ref="J432:N433" si="160">+J333</f>
        <v>1.797634189906083</v>
      </c>
      <c r="K432" s="153">
        <f t="shared" si="160"/>
        <v>1.4614583559056851</v>
      </c>
      <c r="L432" s="153">
        <f t="shared" si="160"/>
        <v>1.2083079489129767</v>
      </c>
      <c r="M432" s="153">
        <f t="shared" si="160"/>
        <v>4.5851039409040135</v>
      </c>
      <c r="N432" s="153">
        <f t="shared" si="160"/>
        <v>4.0459427567042994</v>
      </c>
    </row>
    <row r="433" spans="2:14">
      <c r="B433" s="153" t="str">
        <f>+B334</f>
        <v>Investment in assets =NFAt-NFAt-1+Depreciation</v>
      </c>
      <c r="C433" s="153"/>
      <c r="D433" s="153"/>
      <c r="E433" s="153"/>
      <c r="F433" s="153"/>
      <c r="G433" s="153"/>
      <c r="H433" s="153"/>
      <c r="I433" s="153"/>
      <c r="J433" s="153">
        <f t="shared" si="160"/>
        <v>0</v>
      </c>
      <c r="K433" s="153">
        <f t="shared" si="160"/>
        <v>0</v>
      </c>
      <c r="L433" s="153">
        <f t="shared" si="160"/>
        <v>200</v>
      </c>
      <c r="M433" s="153">
        <f t="shared" si="160"/>
        <v>0</v>
      </c>
      <c r="N433" s="153">
        <f t="shared" si="160"/>
        <v>0</v>
      </c>
    </row>
    <row r="434" spans="2:14">
      <c r="B434" s="153">
        <f>+B335</f>
        <v>0</v>
      </c>
      <c r="C434" s="153"/>
      <c r="D434" s="153"/>
      <c r="E434" s="153"/>
      <c r="F434" s="153"/>
      <c r="G434" s="153"/>
      <c r="H434" s="153"/>
      <c r="I434" s="153"/>
      <c r="J434" s="153">
        <f>+J335</f>
        <v>0</v>
      </c>
      <c r="K434" s="153"/>
      <c r="L434" s="153"/>
      <c r="M434" s="153"/>
      <c r="N434" s="153"/>
    </row>
    <row r="435" spans="2:14">
      <c r="B435" s="153" t="str">
        <f>+B336</f>
        <v>Net Income</v>
      </c>
      <c r="C435" s="153"/>
      <c r="D435" s="153"/>
      <c r="E435" s="153"/>
      <c r="F435" s="153"/>
      <c r="G435" s="153"/>
      <c r="H435" s="153"/>
      <c r="I435" s="153"/>
      <c r="J435" s="153">
        <f>+J336</f>
        <v>30.600000662943224</v>
      </c>
      <c r="K435" s="153">
        <f t="shared" ref="K435:N436" si="161">+K336</f>
        <v>35.988622223763478</v>
      </c>
      <c r="L435" s="153">
        <f t="shared" si="161"/>
        <v>41.473527415261628</v>
      </c>
      <c r="M435" s="153">
        <f t="shared" si="161"/>
        <v>14.479730010471764</v>
      </c>
      <c r="N435" s="153">
        <f t="shared" si="161"/>
        <v>21.359266338066867</v>
      </c>
    </row>
    <row r="436" spans="2:14">
      <c r="B436" s="153" t="str">
        <f>+B337</f>
        <v>Plus depreciation</v>
      </c>
      <c r="C436" s="153"/>
      <c r="D436" s="153"/>
      <c r="E436" s="153"/>
      <c r="F436" s="153"/>
      <c r="G436" s="153"/>
      <c r="H436" s="153"/>
      <c r="I436" s="153"/>
      <c r="J436" s="153">
        <f>+J337</f>
        <v>14.07631739747003</v>
      </c>
      <c r="K436" s="153">
        <f t="shared" si="161"/>
        <v>14.07631739747003</v>
      </c>
      <c r="L436" s="153">
        <f t="shared" si="161"/>
        <v>14.07631739747003</v>
      </c>
      <c r="M436" s="153">
        <f t="shared" si="161"/>
        <v>50</v>
      </c>
      <c r="N436" s="153">
        <f t="shared" si="161"/>
        <v>50</v>
      </c>
    </row>
    <row r="437" spans="2:14">
      <c r="B437" s="153" t="str">
        <f>+B340</f>
        <v>Minus change in working capial</v>
      </c>
      <c r="C437" s="153"/>
      <c r="D437" s="153"/>
      <c r="E437" s="153"/>
      <c r="F437" s="153"/>
      <c r="G437" s="153"/>
      <c r="H437" s="153"/>
      <c r="I437" s="153"/>
      <c r="J437" s="153">
        <f>-J428</f>
        <v>0.99211912764965859</v>
      </c>
      <c r="K437" s="153">
        <f>-K428</f>
        <v>-0.11874611291211323</v>
      </c>
      <c r="L437" s="153">
        <f>-L428</f>
        <v>-0.97469128146118322</v>
      </c>
      <c r="M437" s="153">
        <f>-M428</f>
        <v>-1.03335519396812</v>
      </c>
      <c r="N437" s="153">
        <f>-N428</f>
        <v>-1.0955179238006068</v>
      </c>
    </row>
    <row r="438" spans="2:14">
      <c r="B438" s="153" t="str">
        <f>+B341</f>
        <v>Minus Investments in operating assets</v>
      </c>
      <c r="C438" s="153"/>
      <c r="D438" s="153"/>
      <c r="E438" s="153"/>
      <c r="F438" s="153"/>
      <c r="G438" s="153"/>
      <c r="H438" s="153"/>
      <c r="I438" s="153"/>
      <c r="J438" s="153">
        <f>+J341</f>
        <v>0</v>
      </c>
      <c r="K438" s="153">
        <f>+K341</f>
        <v>0</v>
      </c>
      <c r="L438" s="153">
        <f>+L341</f>
        <v>-200</v>
      </c>
      <c r="M438" s="153">
        <f>+M341</f>
        <v>0</v>
      </c>
      <c r="N438" s="153">
        <f>+N341</f>
        <v>0</v>
      </c>
    </row>
    <row r="439" spans="2:14">
      <c r="B439" s="153" t="str">
        <f>+B342</f>
        <v>FCF</v>
      </c>
      <c r="C439" s="153"/>
      <c r="D439" s="153"/>
      <c r="E439" s="153"/>
      <c r="F439" s="153"/>
      <c r="G439" s="153"/>
      <c r="H439" s="153"/>
      <c r="I439" s="153"/>
      <c r="J439" s="153">
        <f>SUM(J435:J438)</f>
        <v>45.66843718806291</v>
      </c>
      <c r="K439" s="153">
        <f>SUM(K435:K438)</f>
        <v>49.946193508321393</v>
      </c>
      <c r="L439" s="153">
        <f>SUM(L435:L438)</f>
        <v>-145.42484646872953</v>
      </c>
      <c r="M439" s="153">
        <f>SUM(M435:M438)</f>
        <v>63.446374816503649</v>
      </c>
      <c r="N439" s="153">
        <f>SUM(N435:N438)</f>
        <v>70.263748414266274</v>
      </c>
    </row>
    <row r="440" spans="2:14">
      <c r="B440" s="154" t="s">
        <v>396</v>
      </c>
      <c r="C440" s="155"/>
      <c r="D440" s="155"/>
      <c r="E440" s="155"/>
      <c r="F440" s="155"/>
      <c r="G440" s="155"/>
      <c r="H440" s="155"/>
      <c r="I440" s="155"/>
      <c r="J440" s="156">
        <f>+J343</f>
        <v>24.295509383346392</v>
      </c>
      <c r="K440" s="156">
        <f>+K343</f>
        <v>29.830670876085161</v>
      </c>
      <c r="L440" s="156">
        <f>+L343</f>
        <v>-67.081979138506753</v>
      </c>
      <c r="M440" s="156">
        <f>+M343</f>
        <v>53.464367358734194</v>
      </c>
      <c r="N440" s="156">
        <f>+N343</f>
        <v>33.095018378712282</v>
      </c>
    </row>
    <row r="441" spans="2:14">
      <c r="B441" s="153">
        <f t="shared" ref="B441:B447" si="162">+B344</f>
        <v>0</v>
      </c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</row>
    <row r="442" spans="2:14">
      <c r="B442" s="153" t="str">
        <f t="shared" si="162"/>
        <v>Net Income</v>
      </c>
      <c r="C442" s="153"/>
      <c r="D442" s="153"/>
      <c r="E442" s="153"/>
      <c r="F442" s="153"/>
      <c r="G442" s="153"/>
      <c r="H442" s="153"/>
      <c r="I442" s="153"/>
      <c r="J442" s="153">
        <f t="shared" ref="J442:N443" si="163">+J345</f>
        <v>30.600000662943224</v>
      </c>
      <c r="K442" s="153">
        <f t="shared" si="163"/>
        <v>35.988622223763478</v>
      </c>
      <c r="L442" s="153">
        <f t="shared" si="163"/>
        <v>41.473527415261628</v>
      </c>
      <c r="M442" s="153">
        <f t="shared" si="163"/>
        <v>14.479730010471764</v>
      </c>
      <c r="N442" s="153">
        <f t="shared" si="163"/>
        <v>21.359266338066867</v>
      </c>
    </row>
    <row r="443" spans="2:14">
      <c r="B443" s="153" t="str">
        <f t="shared" si="162"/>
        <v>Plus depreciation</v>
      </c>
      <c r="C443" s="153"/>
      <c r="D443" s="153"/>
      <c r="E443" s="153"/>
      <c r="F443" s="153"/>
      <c r="G443" s="153"/>
      <c r="H443" s="153"/>
      <c r="I443" s="153"/>
      <c r="J443" s="153">
        <f t="shared" si="163"/>
        <v>14.07631739747003</v>
      </c>
      <c r="K443" s="153">
        <f t="shared" si="163"/>
        <v>14.07631739747003</v>
      </c>
      <c r="L443" s="153">
        <f t="shared" si="163"/>
        <v>14.07631739747003</v>
      </c>
      <c r="M443" s="153">
        <f t="shared" si="163"/>
        <v>50</v>
      </c>
      <c r="N443" s="153">
        <f t="shared" si="163"/>
        <v>50</v>
      </c>
    </row>
    <row r="444" spans="2:14">
      <c r="B444" s="153" t="str">
        <f t="shared" si="162"/>
        <v>Minus change in working capial</v>
      </c>
      <c r="C444" s="153"/>
      <c r="D444" s="153"/>
      <c r="E444" s="153"/>
      <c r="F444" s="153"/>
      <c r="G444" s="153"/>
      <c r="H444" s="153"/>
      <c r="I444" s="153"/>
      <c r="J444" s="153">
        <f>-J428</f>
        <v>0.99211912764965859</v>
      </c>
      <c r="K444" s="153">
        <f>-K428</f>
        <v>-0.11874611291211323</v>
      </c>
      <c r="L444" s="153">
        <f>-L428</f>
        <v>-0.97469128146118322</v>
      </c>
      <c r="M444" s="153">
        <f>-M428</f>
        <v>-1.03335519396812</v>
      </c>
      <c r="N444" s="153">
        <f>-N428</f>
        <v>-1.0955179238006068</v>
      </c>
    </row>
    <row r="445" spans="2:14">
      <c r="B445" s="153" t="str">
        <f t="shared" si="162"/>
        <v>Minus Principal payments</v>
      </c>
      <c r="C445" s="153"/>
      <c r="D445" s="153"/>
      <c r="E445" s="153"/>
      <c r="F445" s="153"/>
      <c r="G445" s="153"/>
      <c r="H445" s="153"/>
      <c r="I445" s="153"/>
      <c r="J445" s="153">
        <f t="shared" ref="J445:N446" si="164">+J348</f>
        <v>-5.1610334537414175</v>
      </c>
      <c r="K445" s="153">
        <f t="shared" si="164"/>
        <v>-5.1610334537414033</v>
      </c>
      <c r="L445" s="153">
        <f t="shared" si="164"/>
        <v>95.147816060609728</v>
      </c>
      <c r="M445" s="153">
        <f t="shared" si="164"/>
        <v>-15.191918405176523</v>
      </c>
      <c r="N445" s="153">
        <f t="shared" si="164"/>
        <v>-15.191918405176523</v>
      </c>
    </row>
    <row r="446" spans="2:14">
      <c r="B446" s="153" t="str">
        <f t="shared" si="162"/>
        <v>Minus Investments in operating assets</v>
      </c>
      <c r="C446" s="153"/>
      <c r="D446" s="153"/>
      <c r="E446" s="153"/>
      <c r="F446" s="153"/>
      <c r="G446" s="153"/>
      <c r="H446" s="153"/>
      <c r="I446" s="153"/>
      <c r="J446" s="153">
        <f t="shared" si="164"/>
        <v>0</v>
      </c>
      <c r="K446" s="153">
        <f t="shared" si="164"/>
        <v>0</v>
      </c>
      <c r="L446" s="153">
        <f t="shared" si="164"/>
        <v>-200</v>
      </c>
      <c r="M446" s="153">
        <f t="shared" si="164"/>
        <v>0</v>
      </c>
      <c r="N446" s="153">
        <f t="shared" si="164"/>
        <v>0</v>
      </c>
    </row>
    <row r="447" spans="2:14">
      <c r="B447" s="153" t="str">
        <f t="shared" si="162"/>
        <v>CFE</v>
      </c>
      <c r="C447" s="153"/>
      <c r="D447" s="153"/>
      <c r="E447" s="153"/>
      <c r="F447" s="153"/>
      <c r="G447" s="153"/>
      <c r="H447" s="153"/>
      <c r="I447" s="153"/>
      <c r="J447" s="153">
        <f>SUM(J442:J446)</f>
        <v>40.507403734321493</v>
      </c>
      <c r="K447" s="153">
        <f>SUM(K442:K446)</f>
        <v>44.78516005457999</v>
      </c>
      <c r="L447" s="153">
        <f>SUM(L442:L446)</f>
        <v>-50.277030408119799</v>
      </c>
      <c r="M447" s="153">
        <f>SUM(M442:M446)</f>
        <v>48.254456411327126</v>
      </c>
      <c r="N447" s="153">
        <f>SUM(N442:N446)</f>
        <v>55.071830009089751</v>
      </c>
    </row>
    <row r="449" spans="2:14">
      <c r="B449" s="121" t="s">
        <v>390</v>
      </c>
      <c r="J449" s="125">
        <f>+J439+J432</f>
        <v>47.466071377968994</v>
      </c>
      <c r="K449" s="125">
        <f>+K439+K432</f>
        <v>51.407651864227077</v>
      </c>
      <c r="L449" s="125">
        <f>+L439+L432</f>
        <v>-144.21653851981654</v>
      </c>
      <c r="M449" s="125">
        <f>+M439+M432</f>
        <v>68.031478757407669</v>
      </c>
      <c r="N449" s="125">
        <f>+N439+N432</f>
        <v>74.309691170970581</v>
      </c>
    </row>
    <row r="450" spans="2:14">
      <c r="B450" s="121" t="s">
        <v>398</v>
      </c>
      <c r="J450" s="125">
        <f>+J447+J309</f>
        <v>50.804534873508857</v>
      </c>
      <c r="K450" s="125">
        <f>+K447+K309</f>
        <v>54.121788810909067</v>
      </c>
      <c r="L450" s="125">
        <f>+L447+L309</f>
        <v>-141.97253804326385</v>
      </c>
      <c r="M450" s="125">
        <f>+M447+M309</f>
        <v>76.54667179051512</v>
      </c>
      <c r="N450" s="125">
        <f>+N447+N309</f>
        <v>81.823584861992842</v>
      </c>
    </row>
    <row r="451" spans="2:14">
      <c r="B451" s="121"/>
      <c r="J451" s="125">
        <f>+J450-J449</f>
        <v>3.3384634955398624</v>
      </c>
      <c r="K451" s="125">
        <f>+K450-K449</f>
        <v>2.7141369466819896</v>
      </c>
      <c r="L451" s="125">
        <f>+L450-L449</f>
        <v>2.2440004765526851</v>
      </c>
      <c r="M451" s="125">
        <f>+M450-M449</f>
        <v>8.515193033107451</v>
      </c>
      <c r="N451" s="125">
        <f>+N450-N449</f>
        <v>7.5138936910222611</v>
      </c>
    </row>
    <row r="452" spans="2:14">
      <c r="B452" s="121" t="s">
        <v>404</v>
      </c>
      <c r="J452" s="125"/>
      <c r="K452" s="125"/>
      <c r="L452" s="125"/>
      <c r="M452" s="125"/>
      <c r="N452" s="125"/>
    </row>
    <row r="453" spans="2:14">
      <c r="B453" s="121" t="s">
        <v>399</v>
      </c>
      <c r="J453" s="125">
        <f>+J369</f>
        <v>1.8990933757910811</v>
      </c>
      <c r="K453" s="125">
        <f>+K369</f>
        <v>2.8499387369834506</v>
      </c>
      <c r="L453" s="125">
        <f>+L369</f>
        <v>3.5918664812270795</v>
      </c>
      <c r="M453" s="125">
        <f>+M369</f>
        <v>0</v>
      </c>
      <c r="N453" s="125">
        <f>+N369</f>
        <v>0.81942006235357834</v>
      </c>
    </row>
    <row r="454" spans="2:14">
      <c r="B454" s="121" t="s">
        <v>400</v>
      </c>
      <c r="J454" s="125">
        <f>-J453*J8</f>
        <v>-0.66468268152687837</v>
      </c>
      <c r="K454" s="125">
        <f>-K453*K8</f>
        <v>-0.99747855794420759</v>
      </c>
      <c r="L454" s="125">
        <f>-L453*L8</f>
        <v>-1.2571532684294777</v>
      </c>
      <c r="M454" s="125">
        <f>-M453*M8</f>
        <v>0</v>
      </c>
      <c r="N454" s="125">
        <f>-N453*N8</f>
        <v>-0.28679702182375238</v>
      </c>
    </row>
    <row r="455" spans="2:14">
      <c r="B455" s="121" t="s">
        <v>401</v>
      </c>
      <c r="J455" s="125">
        <f>+J454+J453</f>
        <v>1.2344106942642026</v>
      </c>
      <c r="K455" s="125">
        <f>+K454+K453</f>
        <v>1.852460179039243</v>
      </c>
      <c r="L455" s="125">
        <f>+L454+L453</f>
        <v>2.3347132127976016</v>
      </c>
      <c r="M455" s="125">
        <f>+M454+M453</f>
        <v>0</v>
      </c>
      <c r="N455" s="125">
        <f>+N454+N453</f>
        <v>0.53262304052982601</v>
      </c>
    </row>
    <row r="456" spans="2:14">
      <c r="B456" s="121" t="s">
        <v>402</v>
      </c>
      <c r="J456" s="125">
        <f>+J198-I198</f>
        <v>0.77184089408926582</v>
      </c>
      <c r="K456" s="125">
        <f>+K198-J198</f>
        <v>0.9092700812884118</v>
      </c>
      <c r="L456" s="125">
        <f>+L198-K198</f>
        <v>0.88482239729873413</v>
      </c>
      <c r="M456" s="125">
        <f>+M198-L198</f>
        <v>0.93474938754778236</v>
      </c>
      <c r="N456" s="125">
        <f>+N198-M198</f>
        <v>0.98749355824219265</v>
      </c>
    </row>
    <row r="457" spans="2:14">
      <c r="B457" s="121" t="s">
        <v>403</v>
      </c>
      <c r="J457" s="60">
        <f>+J201-I201</f>
        <v>23.939550406167143</v>
      </c>
    </row>
    <row r="458" spans="2:14">
      <c r="B458" s="121"/>
      <c r="J458" s="60"/>
    </row>
    <row r="459" spans="2:14">
      <c r="B459" s="121"/>
      <c r="J459" s="60"/>
    </row>
    <row r="460" spans="2:14">
      <c r="B460" s="121"/>
      <c r="J460" s="60"/>
    </row>
    <row r="461" spans="2:14">
      <c r="B461" s="153" t="str">
        <f>+B353</f>
        <v>EBIT</v>
      </c>
      <c r="C461" s="153">
        <f t="shared" ref="C461:N463" si="165">+C353</f>
        <v>0</v>
      </c>
      <c r="D461" s="153">
        <f t="shared" si="165"/>
        <v>0</v>
      </c>
      <c r="E461" s="153">
        <f t="shared" si="165"/>
        <v>0</v>
      </c>
      <c r="F461" s="153">
        <f t="shared" si="165"/>
        <v>0</v>
      </c>
      <c r="G461" s="153">
        <f t="shared" si="165"/>
        <v>0</v>
      </c>
      <c r="H461" s="153">
        <f t="shared" si="165"/>
        <v>0</v>
      </c>
      <c r="I461" s="153">
        <f t="shared" si="165"/>
        <v>0</v>
      </c>
      <c r="J461" s="153">
        <f t="shared" si="165"/>
        <v>50.313928406490597</v>
      </c>
      <c r="K461" s="153">
        <f t="shared" si="165"/>
        <v>56.692767679086494</v>
      </c>
      <c r="L461" s="153">
        <f t="shared" si="165"/>
        <v>63.665868736948759</v>
      </c>
      <c r="M461" s="153">
        <f t="shared" si="165"/>
        <v>35.376804682429565</v>
      </c>
      <c r="N461" s="153">
        <f t="shared" si="165"/>
        <v>43.60082613624509</v>
      </c>
    </row>
    <row r="462" spans="2:14">
      <c r="B462" s="153" t="str">
        <f>+B354</f>
        <v>Minus tax on EBIT</v>
      </c>
      <c r="C462" s="153">
        <f t="shared" si="165"/>
        <v>0</v>
      </c>
      <c r="D462" s="153">
        <f t="shared" si="165"/>
        <v>0</v>
      </c>
      <c r="E462" s="153">
        <f t="shared" si="165"/>
        <v>0</v>
      </c>
      <c r="F462" s="153">
        <f t="shared" si="165"/>
        <v>0</v>
      </c>
      <c r="G462" s="153">
        <f t="shared" si="165"/>
        <v>0</v>
      </c>
      <c r="H462" s="153">
        <f t="shared" si="165"/>
        <v>0</v>
      </c>
      <c r="I462" s="153">
        <f t="shared" si="165"/>
        <v>0</v>
      </c>
      <c r="J462" s="153">
        <f t="shared" si="165"/>
        <v>-17.609874942271709</v>
      </c>
      <c r="K462" s="153">
        <f t="shared" si="165"/>
        <v>-19.84246868768027</v>
      </c>
      <c r="L462" s="153">
        <f t="shared" si="165"/>
        <v>-22.283054057932066</v>
      </c>
      <c r="M462" s="153">
        <f t="shared" si="165"/>
        <v>-12.381881638850347</v>
      </c>
      <c r="N462" s="153">
        <f t="shared" si="165"/>
        <v>-15.26028914768578</v>
      </c>
    </row>
    <row r="463" spans="2:14">
      <c r="B463" s="153" t="str">
        <f>+B355</f>
        <v>Plus depreciation</v>
      </c>
      <c r="C463" s="153">
        <f t="shared" si="165"/>
        <v>0</v>
      </c>
      <c r="D463" s="153">
        <f t="shared" si="165"/>
        <v>0</v>
      </c>
      <c r="E463" s="153">
        <f t="shared" si="165"/>
        <v>0</v>
      </c>
      <c r="F463" s="153">
        <f t="shared" si="165"/>
        <v>0</v>
      </c>
      <c r="G463" s="153">
        <f t="shared" si="165"/>
        <v>0</v>
      </c>
      <c r="H463" s="153">
        <f t="shared" si="165"/>
        <v>0</v>
      </c>
      <c r="I463" s="153">
        <f t="shared" si="165"/>
        <v>0</v>
      </c>
      <c r="J463" s="153">
        <f t="shared" si="165"/>
        <v>14.07631739747003</v>
      </c>
      <c r="K463" s="153">
        <f t="shared" si="165"/>
        <v>14.07631739747003</v>
      </c>
      <c r="L463" s="153">
        <f t="shared" si="165"/>
        <v>14.07631739747003</v>
      </c>
      <c r="M463" s="153">
        <f t="shared" si="165"/>
        <v>50</v>
      </c>
      <c r="N463" s="153">
        <f t="shared" si="165"/>
        <v>50</v>
      </c>
    </row>
    <row r="464" spans="2:14">
      <c r="B464" s="153" t="str">
        <f t="shared" ref="B464:N466" si="166">+B358</f>
        <v>Minus change in working capial</v>
      </c>
      <c r="C464" s="153">
        <f t="shared" si="166"/>
        <v>0</v>
      </c>
      <c r="D464" s="153">
        <f t="shared" si="166"/>
        <v>0</v>
      </c>
      <c r="E464" s="153">
        <f t="shared" si="166"/>
        <v>0</v>
      </c>
      <c r="F464" s="153">
        <f t="shared" si="166"/>
        <v>0</v>
      </c>
      <c r="G464" s="153">
        <f t="shared" si="166"/>
        <v>0</v>
      </c>
      <c r="H464" s="153">
        <f t="shared" si="166"/>
        <v>0</v>
      </c>
      <c r="I464" s="153">
        <f t="shared" si="166"/>
        <v>0</v>
      </c>
      <c r="J464" s="153">
        <f>-J428</f>
        <v>0.99211912764965859</v>
      </c>
      <c r="K464" s="153">
        <f>-K428</f>
        <v>-0.11874611291211323</v>
      </c>
      <c r="L464" s="153">
        <f>-L428</f>
        <v>-0.97469128146118322</v>
      </c>
      <c r="M464" s="153">
        <f>-M428</f>
        <v>-1.03335519396812</v>
      </c>
      <c r="N464" s="153">
        <f>-N428</f>
        <v>-1.0955179238006068</v>
      </c>
    </row>
    <row r="465" spans="2:14">
      <c r="B465" s="153" t="str">
        <f>+B359</f>
        <v>Minus Investments in operating assets</v>
      </c>
      <c r="C465" s="153">
        <f t="shared" si="166"/>
        <v>0</v>
      </c>
      <c r="D465" s="153">
        <f t="shared" si="166"/>
        <v>0</v>
      </c>
      <c r="E465" s="153">
        <f t="shared" si="166"/>
        <v>0</v>
      </c>
      <c r="F465" s="153">
        <f t="shared" si="166"/>
        <v>0</v>
      </c>
      <c r="G465" s="153">
        <f t="shared" si="166"/>
        <v>0</v>
      </c>
      <c r="H465" s="153">
        <f t="shared" si="166"/>
        <v>0</v>
      </c>
      <c r="I465" s="153">
        <f t="shared" si="166"/>
        <v>0</v>
      </c>
      <c r="J465" s="153">
        <f t="shared" si="166"/>
        <v>0</v>
      </c>
      <c r="K465" s="153">
        <f t="shared" si="166"/>
        <v>0</v>
      </c>
      <c r="L465" s="153">
        <f t="shared" si="166"/>
        <v>-200</v>
      </c>
      <c r="M465" s="153">
        <f t="shared" si="166"/>
        <v>0</v>
      </c>
      <c r="N465" s="153">
        <f t="shared" si="166"/>
        <v>0</v>
      </c>
    </row>
    <row r="466" spans="2:14">
      <c r="B466" s="153" t="str">
        <f>+B360</f>
        <v>FCF</v>
      </c>
      <c r="C466" s="153">
        <f t="shared" si="166"/>
        <v>0</v>
      </c>
      <c r="D466" s="153">
        <f t="shared" si="166"/>
        <v>0</v>
      </c>
      <c r="E466" s="153">
        <f t="shared" si="166"/>
        <v>0</v>
      </c>
      <c r="F466" s="153">
        <f t="shared" si="166"/>
        <v>0</v>
      </c>
      <c r="G466" s="153">
        <f t="shared" si="166"/>
        <v>0</v>
      </c>
      <c r="H466" s="153">
        <f t="shared" si="166"/>
        <v>0</v>
      </c>
      <c r="I466" s="153">
        <f t="shared" si="166"/>
        <v>0</v>
      </c>
      <c r="J466" s="153">
        <f>SUM(J461:J465)</f>
        <v>47.772489989338574</v>
      </c>
      <c r="K466" s="153">
        <f>SUM(K461:K465)</f>
        <v>50.807870275964135</v>
      </c>
      <c r="L466" s="153">
        <f>SUM(L461:L465)</f>
        <v>-145.51555920497447</v>
      </c>
      <c r="M466" s="153">
        <f>SUM(M461:M465)</f>
        <v>71.9615678496111</v>
      </c>
      <c r="N466" s="153">
        <f>SUM(N461:N465)</f>
        <v>77.245019064758708</v>
      </c>
    </row>
    <row r="467" spans="2:14">
      <c r="B467" s="157" t="str">
        <f>+B440</f>
        <v>FCF with full WC</v>
      </c>
      <c r="C467" s="153"/>
      <c r="D467" s="153"/>
      <c r="E467" s="153"/>
      <c r="F467" s="153"/>
      <c r="G467" s="153"/>
      <c r="H467" s="153"/>
      <c r="I467" s="153"/>
      <c r="J467" s="157">
        <f>+J440</f>
        <v>24.295509383346392</v>
      </c>
      <c r="K467" s="157">
        <f>+K440</f>
        <v>29.830670876085161</v>
      </c>
      <c r="L467" s="157">
        <f>+L440</f>
        <v>-67.081979138506753</v>
      </c>
      <c r="M467" s="157">
        <f>+M440</f>
        <v>53.464367358734194</v>
      </c>
      <c r="N467" s="157">
        <f>+N440</f>
        <v>33.095018378712282</v>
      </c>
    </row>
    <row r="468" spans="2:14"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</row>
    <row r="469" spans="2:14">
      <c r="B469" s="153" t="str">
        <f t="shared" ref="B469:N474" si="167">+B363</f>
        <v>EBIT</v>
      </c>
      <c r="C469" s="153">
        <f t="shared" si="167"/>
        <v>0</v>
      </c>
      <c r="D469" s="153">
        <f t="shared" si="167"/>
        <v>0</v>
      </c>
      <c r="E469" s="153">
        <f t="shared" si="167"/>
        <v>0</v>
      </c>
      <c r="F469" s="153">
        <f t="shared" si="167"/>
        <v>0</v>
      </c>
      <c r="G469" s="153">
        <f t="shared" si="167"/>
        <v>0</v>
      </c>
      <c r="H469" s="153">
        <f t="shared" si="167"/>
        <v>0</v>
      </c>
      <c r="I469" s="153">
        <f t="shared" si="167"/>
        <v>0</v>
      </c>
      <c r="J469" s="153">
        <f t="shared" si="167"/>
        <v>50.313928406490597</v>
      </c>
      <c r="K469" s="153">
        <f t="shared" si="167"/>
        <v>56.692767679086494</v>
      </c>
      <c r="L469" s="153">
        <f t="shared" si="167"/>
        <v>63.665868736948759</v>
      </c>
      <c r="M469" s="153">
        <f t="shared" si="167"/>
        <v>35.376804682429565</v>
      </c>
      <c r="N469" s="153">
        <f t="shared" si="167"/>
        <v>43.60082613624509</v>
      </c>
    </row>
    <row r="470" spans="2:14">
      <c r="B470" s="153" t="str">
        <f t="shared" si="167"/>
        <v>Minus tax on EBIT</v>
      </c>
      <c r="C470" s="153">
        <f t="shared" si="167"/>
        <v>0</v>
      </c>
      <c r="D470" s="153">
        <f t="shared" si="167"/>
        <v>0</v>
      </c>
      <c r="E470" s="153">
        <f t="shared" si="167"/>
        <v>0</v>
      </c>
      <c r="F470" s="153">
        <f t="shared" si="167"/>
        <v>0</v>
      </c>
      <c r="G470" s="153">
        <f t="shared" si="167"/>
        <v>0</v>
      </c>
      <c r="H470" s="153">
        <f t="shared" si="167"/>
        <v>0</v>
      </c>
      <c r="I470" s="153">
        <f t="shared" si="167"/>
        <v>0</v>
      </c>
      <c r="J470" s="153">
        <f t="shared" si="167"/>
        <v>-17.609874942271709</v>
      </c>
      <c r="K470" s="153">
        <f t="shared" si="167"/>
        <v>-19.84246868768027</v>
      </c>
      <c r="L470" s="153">
        <f t="shared" si="167"/>
        <v>-22.283054057932066</v>
      </c>
      <c r="M470" s="153">
        <f t="shared" si="167"/>
        <v>-12.381881638850347</v>
      </c>
      <c r="N470" s="153">
        <f t="shared" si="167"/>
        <v>-15.26028914768578</v>
      </c>
    </row>
    <row r="471" spans="2:14">
      <c r="B471" s="153" t="str">
        <f t="shared" si="167"/>
        <v>Plus depreciation</v>
      </c>
      <c r="C471" s="153">
        <f t="shared" si="167"/>
        <v>0</v>
      </c>
      <c r="D471" s="153">
        <f t="shared" si="167"/>
        <v>0</v>
      </c>
      <c r="E471" s="153">
        <f t="shared" si="167"/>
        <v>0</v>
      </c>
      <c r="F471" s="153">
        <f t="shared" si="167"/>
        <v>0</v>
      </c>
      <c r="G471" s="153">
        <f t="shared" si="167"/>
        <v>0</v>
      </c>
      <c r="H471" s="153">
        <f t="shared" si="167"/>
        <v>0</v>
      </c>
      <c r="I471" s="153">
        <f t="shared" si="167"/>
        <v>0</v>
      </c>
      <c r="J471" s="153">
        <f t="shared" si="167"/>
        <v>14.07631739747003</v>
      </c>
      <c r="K471" s="153">
        <f t="shared" si="167"/>
        <v>14.07631739747003</v>
      </c>
      <c r="L471" s="153">
        <f t="shared" si="167"/>
        <v>14.07631739747003</v>
      </c>
      <c r="M471" s="153">
        <f t="shared" si="167"/>
        <v>50</v>
      </c>
      <c r="N471" s="153">
        <f t="shared" si="167"/>
        <v>50</v>
      </c>
    </row>
    <row r="472" spans="2:14">
      <c r="B472" s="153" t="str">
        <f t="shared" si="167"/>
        <v>Minus change in working capial</v>
      </c>
      <c r="C472" s="153">
        <f t="shared" si="167"/>
        <v>0</v>
      </c>
      <c r="D472" s="153">
        <f t="shared" si="167"/>
        <v>0</v>
      </c>
      <c r="E472" s="153">
        <f t="shared" si="167"/>
        <v>0</v>
      </c>
      <c r="F472" s="153">
        <f t="shared" si="167"/>
        <v>0</v>
      </c>
      <c r="G472" s="153">
        <f t="shared" si="167"/>
        <v>0</v>
      </c>
      <c r="H472" s="153">
        <f t="shared" si="167"/>
        <v>0</v>
      </c>
      <c r="I472" s="153">
        <f t="shared" si="167"/>
        <v>0</v>
      </c>
      <c r="J472" s="153">
        <f>-J428</f>
        <v>0.99211912764965859</v>
      </c>
      <c r="K472" s="153">
        <f>-K428</f>
        <v>-0.11874611291211323</v>
      </c>
      <c r="L472" s="153">
        <f>-L428</f>
        <v>-0.97469128146118322</v>
      </c>
      <c r="M472" s="153">
        <f>-M428</f>
        <v>-1.03335519396812</v>
      </c>
      <c r="N472" s="153">
        <f>-N428</f>
        <v>-1.0955179238006068</v>
      </c>
    </row>
    <row r="473" spans="2:14">
      <c r="B473" s="153" t="str">
        <f t="shared" si="167"/>
        <v>Minus principal payments</v>
      </c>
      <c r="C473" s="153">
        <f t="shared" si="167"/>
        <v>0</v>
      </c>
      <c r="D473" s="153">
        <f t="shared" si="167"/>
        <v>0</v>
      </c>
      <c r="E473" s="153">
        <f t="shared" si="167"/>
        <v>0</v>
      </c>
      <c r="F473" s="153">
        <f t="shared" si="167"/>
        <v>0</v>
      </c>
      <c r="G473" s="153">
        <f t="shared" si="167"/>
        <v>0</v>
      </c>
      <c r="H473" s="153">
        <f t="shared" si="167"/>
        <v>0</v>
      </c>
      <c r="I473" s="153">
        <f t="shared" si="167"/>
        <v>0</v>
      </c>
      <c r="J473" s="153">
        <f t="shared" si="167"/>
        <v>-5.1610334537414175</v>
      </c>
      <c r="K473" s="153">
        <f t="shared" si="167"/>
        <v>-5.1610334537414033</v>
      </c>
      <c r="L473" s="153">
        <f t="shared" si="167"/>
        <v>95.147816060609728</v>
      </c>
      <c r="M473" s="153">
        <f t="shared" si="167"/>
        <v>-15.191918405176523</v>
      </c>
      <c r="N473" s="153">
        <f t="shared" si="167"/>
        <v>-15.191918405176523</v>
      </c>
    </row>
    <row r="474" spans="2:14">
      <c r="B474" s="153" t="str">
        <f t="shared" si="167"/>
        <v>Minus Investments in operating assets</v>
      </c>
      <c r="C474" s="153">
        <f t="shared" si="167"/>
        <v>0</v>
      </c>
      <c r="D474" s="153">
        <f t="shared" si="167"/>
        <v>0</v>
      </c>
      <c r="E474" s="153">
        <f t="shared" si="167"/>
        <v>0</v>
      </c>
      <c r="F474" s="153">
        <f t="shared" si="167"/>
        <v>0</v>
      </c>
      <c r="G474" s="153">
        <f t="shared" si="167"/>
        <v>0</v>
      </c>
      <c r="H474" s="153">
        <f t="shared" si="167"/>
        <v>0</v>
      </c>
      <c r="I474" s="153">
        <f t="shared" si="167"/>
        <v>0</v>
      </c>
      <c r="J474" s="153">
        <f t="shared" si="167"/>
        <v>0</v>
      </c>
      <c r="K474" s="153">
        <f t="shared" si="167"/>
        <v>0</v>
      </c>
      <c r="L474" s="153">
        <f t="shared" si="167"/>
        <v>-200</v>
      </c>
      <c r="M474" s="153">
        <f t="shared" si="167"/>
        <v>0</v>
      </c>
      <c r="N474" s="153">
        <f t="shared" si="167"/>
        <v>0</v>
      </c>
    </row>
    <row r="475" spans="2:14">
      <c r="B475" s="153" t="str">
        <f t="shared" ref="B475:N477" si="168">+B371</f>
        <v>Minus Interest payments</v>
      </c>
      <c r="C475" s="153">
        <f t="shared" si="168"/>
        <v>0</v>
      </c>
      <c r="D475" s="153">
        <f t="shared" si="168"/>
        <v>0</v>
      </c>
      <c r="E475" s="153">
        <f t="shared" si="168"/>
        <v>0</v>
      </c>
      <c r="F475" s="153">
        <f t="shared" si="168"/>
        <v>0</v>
      </c>
      <c r="G475" s="153">
        <f t="shared" si="168"/>
        <v>0</v>
      </c>
      <c r="H475" s="153">
        <f t="shared" si="168"/>
        <v>0</v>
      </c>
      <c r="I475" s="153">
        <f t="shared" si="168"/>
        <v>0</v>
      </c>
      <c r="J475" s="153">
        <f t="shared" si="168"/>
        <v>-5.1360976854459519</v>
      </c>
      <c r="K475" s="153">
        <f t="shared" si="168"/>
        <v>-4.1755953025876718</v>
      </c>
      <c r="L475" s="153">
        <f t="shared" si="168"/>
        <v>-3.452308425465648</v>
      </c>
      <c r="M475" s="153">
        <f t="shared" si="168"/>
        <v>-13.100296974011467</v>
      </c>
      <c r="N475" s="153">
        <f t="shared" si="168"/>
        <v>-11.559836447726569</v>
      </c>
    </row>
    <row r="476" spans="2:14">
      <c r="B476" s="153" t="str">
        <f t="shared" si="168"/>
        <v>Plus tax savings</v>
      </c>
      <c r="C476" s="153">
        <f t="shared" si="168"/>
        <v>0</v>
      </c>
      <c r="D476" s="153">
        <f t="shared" si="168"/>
        <v>0</v>
      </c>
      <c r="E476" s="153">
        <f t="shared" si="168"/>
        <v>0</v>
      </c>
      <c r="F476" s="153">
        <f t="shared" si="168"/>
        <v>0</v>
      </c>
      <c r="G476" s="153">
        <f t="shared" si="168"/>
        <v>0</v>
      </c>
      <c r="H476" s="153">
        <f t="shared" si="168"/>
        <v>0</v>
      </c>
      <c r="I476" s="153">
        <f t="shared" si="168"/>
        <v>0</v>
      </c>
      <c r="J476" s="153">
        <f t="shared" si="168"/>
        <v>1.797634189906083</v>
      </c>
      <c r="K476" s="153">
        <f t="shared" si="168"/>
        <v>1.4614583559056851</v>
      </c>
      <c r="L476" s="153">
        <f t="shared" si="168"/>
        <v>1.2083079489129767</v>
      </c>
      <c r="M476" s="153">
        <f t="shared" si="168"/>
        <v>4.5851039409040135</v>
      </c>
      <c r="N476" s="153">
        <f t="shared" si="168"/>
        <v>4.0459427567042994</v>
      </c>
    </row>
    <row r="477" spans="2:14">
      <c r="B477" s="153" t="str">
        <f t="shared" si="168"/>
        <v>CFE</v>
      </c>
      <c r="C477" s="153">
        <f t="shared" si="168"/>
        <v>0</v>
      </c>
      <c r="D477" s="153">
        <f t="shared" si="168"/>
        <v>0</v>
      </c>
      <c r="E477" s="153">
        <f t="shared" si="168"/>
        <v>0</v>
      </c>
      <c r="F477" s="153">
        <f t="shared" si="168"/>
        <v>0</v>
      </c>
      <c r="G477" s="153">
        <f t="shared" si="168"/>
        <v>0</v>
      </c>
      <c r="H477" s="153">
        <f t="shared" si="168"/>
        <v>0</v>
      </c>
      <c r="I477" s="153">
        <f t="shared" si="168"/>
        <v>0</v>
      </c>
      <c r="J477" s="153">
        <f>SUM(J469:J476)</f>
        <v>39.272993040057287</v>
      </c>
      <c r="K477" s="126">
        <f>SUM(K469:K476)</f>
        <v>42.932699875540742</v>
      </c>
      <c r="L477" s="153">
        <f>SUM(L469:L476)</f>
        <v>-52.611743620917409</v>
      </c>
      <c r="M477" s="153">
        <f>SUM(M469:M476)</f>
        <v>48.254456411327119</v>
      </c>
      <c r="N477" s="153">
        <f>SUM(N469:N476)</f>
        <v>54.539206968559917</v>
      </c>
    </row>
    <row r="478" spans="2:14">
      <c r="B478" s="157" t="s">
        <v>412</v>
      </c>
      <c r="C478" s="153"/>
      <c r="D478" s="153"/>
      <c r="E478" s="153"/>
      <c r="F478" s="153"/>
      <c r="G478" s="153"/>
      <c r="H478" s="153"/>
      <c r="I478" s="153"/>
      <c r="J478" s="157">
        <f>+J373</f>
        <v>15.796012434065084</v>
      </c>
      <c r="K478" s="158">
        <f>+K373</f>
        <v>21.955500475661964</v>
      </c>
      <c r="L478" s="157">
        <f>+L373</f>
        <v>25.821836445550353</v>
      </c>
      <c r="M478" s="157">
        <f>+M373</f>
        <v>29.757255920450216</v>
      </c>
      <c r="N478" s="157">
        <f>+N373</f>
        <v>10.389206282513433</v>
      </c>
    </row>
    <row r="480" spans="2:14">
      <c r="B480" s="121" t="s">
        <v>390</v>
      </c>
      <c r="J480" s="125">
        <f>+J466+J432</f>
        <v>49.570124179244658</v>
      </c>
      <c r="K480" s="125">
        <f>+K466+K432</f>
        <v>52.269328631869818</v>
      </c>
      <c r="L480" s="125">
        <f>+L466+L432</f>
        <v>-144.30725125606148</v>
      </c>
      <c r="M480" s="125">
        <f>+M466+M432</f>
        <v>76.54667179051512</v>
      </c>
      <c r="N480" s="125">
        <f>+N466+N432</f>
        <v>81.290961821463014</v>
      </c>
    </row>
    <row r="481" spans="2:14">
      <c r="B481" s="121" t="s">
        <v>391</v>
      </c>
      <c r="J481" s="125">
        <f>+J477+J309</f>
        <v>49.570124179244644</v>
      </c>
      <c r="K481" s="125">
        <f>+K477+K309</f>
        <v>52.269328631869826</v>
      </c>
      <c r="L481" s="125">
        <f>+L477+L309</f>
        <v>-144.30725125606148</v>
      </c>
      <c r="M481" s="125">
        <f>+M477+M309</f>
        <v>76.546671790515106</v>
      </c>
      <c r="N481" s="125">
        <f>+N477+N309</f>
        <v>81.290961821463014</v>
      </c>
    </row>
    <row r="483" spans="2:14">
      <c r="B483" s="121" t="s">
        <v>405</v>
      </c>
      <c r="J483" s="151">
        <f>+J466-J467</f>
        <v>23.476980605992182</v>
      </c>
      <c r="K483" s="159">
        <f>+K466-K467</f>
        <v>20.977199399878973</v>
      </c>
      <c r="L483" s="151">
        <f>+L466-L467</f>
        <v>-78.433580066467712</v>
      </c>
      <c r="M483" s="151">
        <f>+M466-M467</f>
        <v>18.497200490876907</v>
      </c>
      <c r="N483" s="151">
        <f>+N466-N467</f>
        <v>44.150000686046425</v>
      </c>
    </row>
    <row r="484" spans="2:14">
      <c r="B484" s="121" t="s">
        <v>411</v>
      </c>
      <c r="J484" s="60">
        <f>+J477-J478</f>
        <v>23.476980605992203</v>
      </c>
      <c r="K484" s="159">
        <f>+K477-K478</f>
        <v>20.977199399878778</v>
      </c>
      <c r="L484" s="60">
        <f>+L477-L478</f>
        <v>-78.433580066467755</v>
      </c>
      <c r="M484" s="60">
        <f>+M477-M478</f>
        <v>18.497200490876903</v>
      </c>
      <c r="N484" s="60">
        <f>+N477-N478</f>
        <v>44.150000686046482</v>
      </c>
    </row>
    <row r="485" spans="2:14">
      <c r="B485" s="121"/>
      <c r="J485" s="60"/>
      <c r="K485" s="60"/>
      <c r="L485" s="60"/>
      <c r="M485" s="60"/>
      <c r="N485" s="60"/>
    </row>
    <row r="486" spans="2:14">
      <c r="B486" s="121" t="s">
        <v>408</v>
      </c>
      <c r="J486" s="60">
        <f>+J198-I198</f>
        <v>0.77184089408926582</v>
      </c>
      <c r="K486" s="60">
        <f>+K198-J198</f>
        <v>0.9092700812884118</v>
      </c>
      <c r="L486" s="60">
        <f>+L198-K198</f>
        <v>0.88482239729873413</v>
      </c>
      <c r="M486" s="60">
        <f>+M198-L198</f>
        <v>0.93474938754778236</v>
      </c>
      <c r="N486" s="60">
        <f>+N198-M198</f>
        <v>0.98749355824219265</v>
      </c>
    </row>
    <row r="487" spans="2:14">
      <c r="B487" s="121" t="s">
        <v>406</v>
      </c>
      <c r="J487" s="60">
        <f>+J201-I201</f>
        <v>23.939550406167143</v>
      </c>
      <c r="K487" s="60">
        <f>+K201-J201</f>
        <v>21.9203894976296</v>
      </c>
      <c r="L487" s="60">
        <f>+L201-K201</f>
        <v>-76.983689250968894</v>
      </c>
      <c r="M487" s="60">
        <f>+M201-L201</f>
        <v>17.562451103329124</v>
      </c>
      <c r="N487" s="60">
        <f>+N201-M201</f>
        <v>43.695130168334117</v>
      </c>
    </row>
    <row r="488" spans="2:14">
      <c r="B488" s="121" t="s">
        <v>409</v>
      </c>
      <c r="J488" s="60">
        <f>-J188</f>
        <v>-1.8990933757910811</v>
      </c>
      <c r="K488" s="60">
        <f>-K188</f>
        <v>-2.8499387369834506</v>
      </c>
      <c r="L488" s="60">
        <f>-L188</f>
        <v>-3.5918664812270795</v>
      </c>
      <c r="M488" s="60">
        <f>-M188</f>
        <v>0</v>
      </c>
      <c r="N488" s="60">
        <f>-N188</f>
        <v>-0.81942006235357834</v>
      </c>
    </row>
    <row r="489" spans="2:14">
      <c r="B489" s="121" t="s">
        <v>410</v>
      </c>
      <c r="J489" s="60">
        <f>-J488*J8</f>
        <v>0.66468268152687837</v>
      </c>
      <c r="K489" s="60">
        <f>-K488*K8</f>
        <v>0.99747855794420759</v>
      </c>
      <c r="L489" s="60">
        <f>-L488*L8</f>
        <v>1.2571532684294777</v>
      </c>
      <c r="M489" s="60">
        <f>-M488*M8</f>
        <v>0</v>
      </c>
      <c r="N489" s="60">
        <f>-N488*N8</f>
        <v>0.28679702182375238</v>
      </c>
    </row>
    <row r="490" spans="2:14">
      <c r="B490" s="121" t="s">
        <v>407</v>
      </c>
      <c r="J490" s="60">
        <f>SUM(J486:J489)</f>
        <v>23.476980605992203</v>
      </c>
      <c r="K490" s="60">
        <f>SUM(K486:K489)</f>
        <v>20.977199399878771</v>
      </c>
      <c r="L490" s="60">
        <f>SUM(L486:L489)</f>
        <v>-78.433580066467769</v>
      </c>
      <c r="M490" s="60">
        <f>SUM(M486:M489)</f>
        <v>18.497200490876907</v>
      </c>
      <c r="N490" s="60">
        <f>SUM(N486:N489)</f>
        <v>44.150000686046482</v>
      </c>
    </row>
    <row r="491" spans="2:14">
      <c r="J491" s="125">
        <f>+J490-J483</f>
        <v>0</v>
      </c>
      <c r="K491" s="125">
        <f>+K490-K483</f>
        <v>-2.0250467969162855E-13</v>
      </c>
      <c r="L491" s="125">
        <f>+L490-L483</f>
        <v>0</v>
      </c>
      <c r="M491" s="125">
        <f>+M490-M483</f>
        <v>0</v>
      </c>
      <c r="N491" s="125">
        <f>+N490-N483</f>
        <v>5.6843418860808015E-14</v>
      </c>
    </row>
    <row r="495" spans="2:14">
      <c r="B495" s="121" t="s">
        <v>396</v>
      </c>
      <c r="J495" s="151">
        <f>+J467</f>
        <v>24.295509383346392</v>
      </c>
      <c r="K495" s="151">
        <f>+K467</f>
        <v>29.830670876085161</v>
      </c>
      <c r="L495" s="151">
        <f>+L467</f>
        <v>-67.081979138506753</v>
      </c>
      <c r="M495" s="151">
        <f>+M467</f>
        <v>53.464367358734194</v>
      </c>
      <c r="N495" s="151">
        <f>+N467</f>
        <v>33.095018378712282</v>
      </c>
    </row>
    <row r="496" spans="2:14">
      <c r="B496" s="121" t="s">
        <v>413</v>
      </c>
      <c r="J496" s="151">
        <f>+J466</f>
        <v>47.772489989338574</v>
      </c>
      <c r="K496" s="151">
        <f>+K466</f>
        <v>50.807870275964135</v>
      </c>
      <c r="L496" s="151">
        <f>+L466</f>
        <v>-145.51555920497447</v>
      </c>
      <c r="M496" s="151">
        <f>+M466</f>
        <v>71.9615678496111</v>
      </c>
      <c r="N496" s="151">
        <f>+N466</f>
        <v>77.245019064758708</v>
      </c>
    </row>
    <row r="497" spans="2:14">
      <c r="J497" s="160"/>
      <c r="K497" s="160"/>
      <c r="L497" s="160"/>
      <c r="M497" s="160"/>
      <c r="N497" s="160"/>
    </row>
    <row r="498" spans="2:14">
      <c r="B498" s="121" t="s">
        <v>414</v>
      </c>
      <c r="J498" s="59">
        <v>0.16</v>
      </c>
      <c r="K498" s="59">
        <f>+J498</f>
        <v>0.16</v>
      </c>
      <c r="L498" s="59">
        <f>+K498</f>
        <v>0.16</v>
      </c>
      <c r="M498" s="59">
        <f>+L498</f>
        <v>0.16</v>
      </c>
      <c r="N498" s="59">
        <f>+M498</f>
        <v>0.16</v>
      </c>
    </row>
    <row r="499" spans="2:14">
      <c r="B499" s="121" t="s">
        <v>415</v>
      </c>
      <c r="I499">
        <f>+(J495+J499)/(1+J498)</f>
        <v>45.421731007142704</v>
      </c>
      <c r="J499">
        <f>+(K495+K499)/(1+K498)</f>
        <v>28.393698584939138</v>
      </c>
      <c r="K499">
        <f>+(L495+L499)/(1+L498)</f>
        <v>3.1060194824442338</v>
      </c>
      <c r="L499">
        <f>+(M495+M499)/(1+M498)</f>
        <v>70.684961738142064</v>
      </c>
      <c r="M499">
        <f>+(N495+N499)/(1+N498)</f>
        <v>28.530188257510591</v>
      </c>
    </row>
    <row r="500" spans="2:14">
      <c r="B500" s="121" t="s">
        <v>416</v>
      </c>
      <c r="I500">
        <f>+(J496+J500)/(1+J498)</f>
        <v>62.237137950040385</v>
      </c>
      <c r="J500">
        <f>+(K496+K500)/(1+K498)</f>
        <v>24.422590032708261</v>
      </c>
      <c r="K500">
        <f>+(L496+L500)/(1+L498)</f>
        <v>-22.477665838022556</v>
      </c>
      <c r="L500">
        <f>+(M496+M500)/(1+M498)</f>
        <v>119.4414668328683</v>
      </c>
      <c r="M500">
        <f>+(N496+N500)/(1+N498)</f>
        <v>66.590533676516131</v>
      </c>
    </row>
    <row r="501" spans="2:14">
      <c r="B501" s="121" t="s">
        <v>417</v>
      </c>
      <c r="I501" s="60">
        <f>+I201</f>
        <v>31.123749347172151</v>
      </c>
      <c r="J501" s="60">
        <f>+J201</f>
        <v>55.063299753339294</v>
      </c>
      <c r="K501" s="60">
        <f>+K201</f>
        <v>76.983689250968894</v>
      </c>
      <c r="L501" s="60">
        <f>+L201</f>
        <v>0</v>
      </c>
      <c r="M501" s="60">
        <f>+M201</f>
        <v>17.562451103329124</v>
      </c>
    </row>
    <row r="502" spans="2:14">
      <c r="B502" s="121" t="s">
        <v>418</v>
      </c>
      <c r="I502" s="60">
        <f>+I501+I500</f>
        <v>93.360887297212543</v>
      </c>
      <c r="J502" s="60">
        <f>+J501+J500</f>
        <v>79.485889786047551</v>
      </c>
      <c r="K502" s="60">
        <f>+K501+K500</f>
        <v>54.506023412946334</v>
      </c>
      <c r="L502" s="60">
        <f>+L501+L500</f>
        <v>119.4414668328683</v>
      </c>
      <c r="M502" s="60">
        <f>+M501+M500</f>
        <v>84.152984779845255</v>
      </c>
    </row>
    <row r="503" spans="2:14">
      <c r="I503" s="142">
        <f>+I502/I499-1</f>
        <v>1.0554233673421929</v>
      </c>
      <c r="J503" s="142">
        <f>+J502/J499-1</f>
        <v>1.799420073727529</v>
      </c>
      <c r="K503" s="142">
        <f>+K502/K499-1</f>
        <v>16.548513047334033</v>
      </c>
      <c r="L503" s="142">
        <f>+L502/L499-1</f>
        <v>0.68977196698993071</v>
      </c>
      <c r="M503" s="142">
        <f>+M502/M499-1</f>
        <v>1.9496119696193004</v>
      </c>
    </row>
  </sheetData>
  <phoneticPr fontId="0" type="noConversion"/>
  <dataValidations count="2">
    <dataValidation type="decimal" allowBlank="1" showInputMessage="1" showErrorMessage="1" promptTitle="Payout Ratio" prompt="A value between 0 and 100" sqref="E32:I32">
      <formula1>0</formula1>
      <formula2>1</formula2>
    </dataValidation>
    <dataValidation type="decimal" allowBlank="1" showInputMessage="1" showErrorMessage="1" promptTitle="Repurchase of equity" prompt="% of Depreciation as Repurchase of equity" sqref="E39:N39">
      <formula1>0</formula1>
      <formula2>1</formula2>
    </dataValidation>
  </dataValidations>
  <pageMargins left="0.75" right="0.75" top="1" bottom="1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Hoja1</vt:lpstr>
      <vt:lpstr>histórico w dep inv</vt:lpstr>
      <vt:lpstr>histórico book</vt:lpstr>
      <vt:lpstr>'histórico book'!activo_fijo</vt:lpstr>
      <vt:lpstr>'histórico w dep inv'!activo_fijo</vt:lpstr>
      <vt:lpstr>activo_fijo</vt:lpstr>
      <vt:lpstr>'histórico book'!Área_de_impresión</vt:lpstr>
      <vt:lpstr>'histórico w dep inv'!Área_de_impresión</vt:lpstr>
      <vt:lpstr>'histórico book'!patrimonio_inicial</vt:lpstr>
      <vt:lpstr>'histórico w dep inv'!patrimonio_inicial</vt:lpstr>
      <vt:lpstr>patrimonio_inicial</vt:lpstr>
      <vt:lpstr>'histórico book'!tasa_impuestos</vt:lpstr>
      <vt:lpstr>'histórico w dep inv'!tasa_impuestos</vt:lpstr>
      <vt:lpstr>tasa_impuestos</vt:lpstr>
      <vt:lpstr>'histórico book'!Títulos_a_imprimir</vt:lpstr>
      <vt:lpstr>'histórico w dep inv'!Títulos_a_imprimir</vt:lpstr>
    </vt:vector>
  </TitlesOfParts>
  <Company>IVP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VELEZ</dc:creator>
  <cp:lastModifiedBy>IVP</cp:lastModifiedBy>
  <cp:lastPrinted>2007-10-16T16:27:20Z</cp:lastPrinted>
  <dcterms:created xsi:type="dcterms:W3CDTF">2006-09-23T10:01:05Z</dcterms:created>
  <dcterms:modified xsi:type="dcterms:W3CDTF">2010-11-13T00:34:41Z</dcterms:modified>
</cp:coreProperties>
</file>