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80" tabRatio="606" firstSheet="1" activeTab="1"/>
  </bookViews>
  <sheets>
    <sheet name="Recuperado_Hoja1" sheetId="1" state="veryHidden" r:id="rId1"/>
    <sheet name="MENU" sheetId="2" r:id="rId2"/>
    <sheet name="Ejemplo resumido" sheetId="3" r:id="rId3"/>
    <sheet name="AJUSTE POR INFLACION" sheetId="4" r:id="rId4"/>
    <sheet name="FLUJO_DE_CAJA_PROYECTO" sheetId="5" r:id="rId5"/>
    <sheet name="FCL de PYG" sheetId="6" r:id="rId6"/>
    <sheet name="EVA" sheetId="7" r:id="rId7"/>
    <sheet name="sensibilidad" sheetId="8" r:id="rId8"/>
    <sheet name="FCL DE PARTIDAS OPERATIVAS" sheetId="9" r:id="rId9"/>
    <sheet name="FCL real" sheetId="10" r:id="rId10"/>
    <sheet name="amortizac proyecto" sheetId="11" r:id="rId11"/>
    <sheet name="IRVA" sheetId="12" r:id="rId12"/>
  </sheets>
  <externalReferences>
    <externalReference r:id="rId15"/>
    <externalReference r:id="rId16"/>
  </externalReferences>
  <definedNames>
    <definedName name="__123Graph_A" hidden="1">#REF!</definedName>
    <definedName name="__123Graph_AVPNACUM" hidden="1">#REF!</definedName>
    <definedName name="__123Graph_AVPNFREC" hidden="1">#REF!</definedName>
    <definedName name="__123Graph_AVPNSIGNO" hidden="1">#REF!</definedName>
    <definedName name="__123Graph_X" hidden="1">#REF!</definedName>
    <definedName name="__123Graph_XVPNACUM" hidden="1">#REF!</definedName>
    <definedName name="__123Graph_XVPNFREC" hidden="1">#REF!</definedName>
    <definedName name="__123Graph_XVPNSIGNO" hidden="1">#REF!</definedName>
    <definedName name="_ftn1" localSheetId="5">'FCL de PYG'!$A$248</definedName>
    <definedName name="_ftnref1" localSheetId="5">'FCL de PYG'!#REF!</definedName>
    <definedName name="area" localSheetId="3">'AJUSTE POR INFLACION'!$A$8:$G$63</definedName>
    <definedName name="area" localSheetId="4">'FLUJO_DE_CAJA_PROYECTO'!$A$8:$H$63</definedName>
    <definedName name="area">#REF!</definedName>
    <definedName name="_xlnm.Print_Area" localSheetId="3">'AJUSTE POR INFLACION'!$C$64:$G$184</definedName>
    <definedName name="AUM_GG1" localSheetId="3">'AJUSTE POR INFLACION'!$D$40</definedName>
    <definedName name="AUM_GG1">'FLUJO_DE_CAJA_PROYECTO'!$D$40</definedName>
    <definedName name="AUM_GG2" localSheetId="3">'AJUSTE POR INFLACION'!$E$40</definedName>
    <definedName name="AUM_GG2">'FLUJO_DE_CAJA_PROYECTO'!$E$40</definedName>
    <definedName name="AUM_GG3" localSheetId="3">'AJUSTE POR INFLACION'!$F$40</definedName>
    <definedName name="AUM_GG3">'FLUJO_DE_CAJA_PROYECTO'!$F$40</definedName>
    <definedName name="AUM_HON1" localSheetId="3">'AJUSTE POR INFLACION'!$D$38</definedName>
    <definedName name="AUM_HON1">'FLUJO_DE_CAJA_PROYECTO'!$D$38</definedName>
    <definedName name="AUM_HON2" localSheetId="3">'AJUSTE POR INFLACION'!$E$38</definedName>
    <definedName name="AUM_HON2">'FLUJO_DE_CAJA_PROYECTO'!$E$38</definedName>
    <definedName name="AUM_HON3" localSheetId="3">'AJUSTE POR INFLACION'!$F$38</definedName>
    <definedName name="AUM_HON3">'FLUJO_DE_CAJA_PROYECTO'!$F$38</definedName>
    <definedName name="AUM_HON4" localSheetId="3">'AJUSTE POR INFLACION'!$G$38</definedName>
    <definedName name="AUM_HON4">'FLUJO_DE_CAJA_PROYECTO'!$G$38</definedName>
    <definedName name="AUM_PC1" localSheetId="3">'AJUSTE POR INFLACION'!$D$32</definedName>
    <definedName name="AUM_PC1">'FLUJO_DE_CAJA_PROYECTO'!$D$32</definedName>
    <definedName name="AUM_PC2" localSheetId="3">'AJUSTE POR INFLACION'!$E$32</definedName>
    <definedName name="AUM_PC2">'FLUJO_DE_CAJA_PROYECTO'!$E$32</definedName>
    <definedName name="AUM_PC3" localSheetId="3">'AJUSTE POR INFLACION'!$F$32</definedName>
    <definedName name="AUM_PC3">'FLUJO_DE_CAJA_PROYECTO'!$F$32</definedName>
    <definedName name="AUM_PV1" localSheetId="3">'AJUSTE POR INFLACION'!$D$35</definedName>
    <definedName name="AUM_PV1">'FLUJO_DE_CAJA_PROYECTO'!$D$35</definedName>
    <definedName name="AUM_PV2" localSheetId="3">'AJUSTE POR INFLACION'!$E$35</definedName>
    <definedName name="AUM_PV2">'FLUJO_DE_CAJA_PROYECTO'!$E$35</definedName>
    <definedName name="AUM_PV3" localSheetId="3">'AJUSTE POR INFLACION'!$F$35</definedName>
    <definedName name="AUM_PV3">'FLUJO_DE_CAJA_PROYECTO'!$F$35</definedName>
    <definedName name="AUM_SAL1" localSheetId="3">'AJUSTE POR INFLACION'!$D$44</definedName>
    <definedName name="AUM_SAL1">'FLUJO_DE_CAJA_PROYECTO'!$D$44</definedName>
    <definedName name="AUM_SAL2" localSheetId="3">'AJUSTE POR INFLACION'!$E$44</definedName>
    <definedName name="AUM_SAL2">'FLUJO_DE_CAJA_PROYECTO'!$E$44</definedName>
    <definedName name="AUM_SAL3" localSheetId="3">'AJUSTE POR INFLACION'!$F$44</definedName>
    <definedName name="AUM_SAL3">'FLUJO_DE_CAJA_PROYECTO'!$F$44</definedName>
    <definedName name="AUMARR1" localSheetId="3">#REF!</definedName>
    <definedName name="AUMARR1" localSheetId="4">#REF!</definedName>
    <definedName name="AUMARR1" localSheetId="7">#REF!</definedName>
    <definedName name="AUMARR1">#REF!</definedName>
    <definedName name="AUMARR2" localSheetId="3">#REF!</definedName>
    <definedName name="AUMARR2" localSheetId="4">#REF!</definedName>
    <definedName name="AUMARR2" localSheetId="7">#REF!</definedName>
    <definedName name="AUMARR2">#REF!</definedName>
    <definedName name="AUMARR3" localSheetId="3">#REF!</definedName>
    <definedName name="AUMARR3" localSheetId="4">#REF!</definedName>
    <definedName name="AUMARR3" localSheetId="7">#REF!</definedName>
    <definedName name="AUMARR3">#REF!</definedName>
    <definedName name="AUMGG1" localSheetId="3">#REF!</definedName>
    <definedName name="AUMGG1" localSheetId="4">#REF!</definedName>
    <definedName name="AUMGG1" localSheetId="7">#REF!</definedName>
    <definedName name="AUMGG1">#REF!</definedName>
    <definedName name="AUMGG2" localSheetId="3">#REF!</definedName>
    <definedName name="AUMGG2" localSheetId="4">#REF!</definedName>
    <definedName name="AUMGG2" localSheetId="7">#REF!</definedName>
    <definedName name="AUMGG2">#REF!</definedName>
    <definedName name="AUMGG3" localSheetId="3">#REF!</definedName>
    <definedName name="AUMGG3" localSheetId="4">#REF!</definedName>
    <definedName name="AUMGG3" localSheetId="7">#REF!</definedName>
    <definedName name="AUMGG3">#REF!</definedName>
    <definedName name="AUMPC1" localSheetId="3">#REF!</definedName>
    <definedName name="AUMPC1" localSheetId="4">#REF!</definedName>
    <definedName name="AUMPC1" localSheetId="7">#REF!</definedName>
    <definedName name="AUMPC1">#REF!</definedName>
    <definedName name="AUMPC2" localSheetId="3">#REF!</definedName>
    <definedName name="AUMPC2" localSheetId="4">#REF!</definedName>
    <definedName name="AUMPC2" localSheetId="7">#REF!</definedName>
    <definedName name="AUMPC2">#REF!</definedName>
    <definedName name="AUMPC3" localSheetId="3">#REF!</definedName>
    <definedName name="AUMPC3" localSheetId="4">#REF!</definedName>
    <definedName name="AUMPC3" localSheetId="7">#REF!</definedName>
    <definedName name="AUMPC3">#REF!</definedName>
    <definedName name="AUMPV1" localSheetId="3">#REF!</definedName>
    <definedName name="AUMPV1" localSheetId="4">#REF!</definedName>
    <definedName name="AUMPV1" localSheetId="7">#REF!</definedName>
    <definedName name="AUMPV1">#REF!</definedName>
    <definedName name="AUMPV2" localSheetId="3">#REF!</definedName>
    <definedName name="AUMPV2" localSheetId="4">#REF!</definedName>
    <definedName name="AUMPV2" localSheetId="7">#REF!</definedName>
    <definedName name="AUMPV2">#REF!</definedName>
    <definedName name="AUMPV3" localSheetId="3">#REF!</definedName>
    <definedName name="AUMPV3" localSheetId="4">#REF!</definedName>
    <definedName name="AUMPV3" localSheetId="7">#REF!</definedName>
    <definedName name="AUMPV3">#REF!</definedName>
    <definedName name="AUMSAL1" localSheetId="3">#REF!</definedName>
    <definedName name="AUMSAL1" localSheetId="4">#REF!</definedName>
    <definedName name="AUMSAL1" localSheetId="7">#REF!</definedName>
    <definedName name="AUMSAL1">#REF!</definedName>
    <definedName name="AUMSAL2" localSheetId="3">#REF!</definedName>
    <definedName name="AUMSAL2" localSheetId="4">#REF!</definedName>
    <definedName name="AUMSAL2" localSheetId="7">#REF!</definedName>
    <definedName name="AUMSAL2">#REF!</definedName>
    <definedName name="AUMSAL3" localSheetId="3">#REF!</definedName>
    <definedName name="AUMSAL3" localSheetId="4">#REF!</definedName>
    <definedName name="AUMSAL3" localSheetId="7">#REF!</definedName>
    <definedName name="AUMSAL3">#REF!</definedName>
    <definedName name="dosvariables">'FLUJO_DE_CAJA_PROYECTO'!$A$269</definedName>
    <definedName name="DUMMY_O_ö_1" localSheetId="3">'AJUSTE POR INFLACION'!$B$5</definedName>
    <definedName name="DUMMY_O_ö_1">'FLUJO_DE_CAJA_PROYECTO'!$B$5</definedName>
    <definedName name="EVA" localSheetId="3">#REF!</definedName>
    <definedName name="EVA" localSheetId="4">#REF!</definedName>
    <definedName name="EVA" localSheetId="7">#REF!</definedName>
    <definedName name="EVA">#REF!</definedName>
    <definedName name="EVA2" localSheetId="3">#REF!</definedName>
    <definedName name="EVA2" localSheetId="4">#REF!</definedName>
    <definedName name="EVA2">'[1]FLUJO DE CAJA FINANCIADO'!$A$253</definedName>
    <definedName name="INDIC_CORR_CONST" localSheetId="3">#REF!</definedName>
    <definedName name="INDIC_CORR_CONST" localSheetId="4">#REF!</definedName>
    <definedName name="INDIC_CORR_CONST" localSheetId="7">#REF!</definedName>
    <definedName name="INDIC_CORR_CONST">#REF!</definedName>
    <definedName name="orden">'sensibilidad'!$E$5</definedName>
    <definedName name="resultaditos">'sensibilidad'!$A$3:$D$27</definedName>
    <definedName name="_xlnm.Print_Titles" localSheetId="3">'AJUSTE POR INFLACION'!$A:$A,'AJUSTE POR INFLACION'!$4:$4</definedName>
    <definedName name="UNALAVEZ">'sensibilidad'!$A$2</definedName>
    <definedName name="vpn" localSheetId="3">'AJUSTE POR INFLACION'!#REF!</definedName>
    <definedName name="vpn" localSheetId="4">'FLUJO_DE_CAJA_PROYECTO'!$C$233</definedName>
    <definedName name="VPN">#REF!</definedName>
    <definedName name="VPN_INVER" localSheetId="3">'AJUSTE POR INFLACION'!#REF!</definedName>
    <definedName name="VPN_INVER" localSheetId="4">'FLUJO_DE_CAJA_PROYECTO'!$C$239</definedName>
    <definedName name="VPN_INVER">#REF!</definedName>
    <definedName name="VPN_reinv_0porciento" localSheetId="3">'AJUSTE POR INFLACION'!#REF!</definedName>
    <definedName name="VPN_reinv_0porciento" localSheetId="4">'FLUJO_DE_CAJA_PROYECTO'!$C$235</definedName>
    <definedName name="VPN_reinv_0porciento">#REF!</definedName>
  </definedNames>
  <calcPr calcMode="manual" fullCalcOnLoad="1" iterate="1" iterateCount="100" iterateDelta="0.001"/>
</workbook>
</file>

<file path=xl/comments4.xml><?xml version="1.0" encoding="utf-8"?>
<comments xmlns="http://schemas.openxmlformats.org/spreadsheetml/2006/main">
  <authors>
    <author>Un usuario de Microsoft Office satisfecho</author>
    <author>Ignacio V?lez</author>
  </authors>
  <commentList>
    <comment ref="B5" authorId="0">
      <text>
        <r>
          <rPr>
            <sz val="8"/>
            <rFont val="Tahoma"/>
            <family val="2"/>
          </rPr>
          <t>IGNACIO VELEZ:
Esta es una variable "dummy" que hace que el VPN se calcule con la tasa que incluye inflación si es 1 y con la tasa sin inflación si es 0.</t>
        </r>
      </text>
    </comment>
    <comment ref="C31" authorId="0">
      <text>
        <r>
          <rPr>
            <sz val="8"/>
            <rFont val="Tahoma"/>
            <family val="2"/>
          </rPr>
          <t>IGNACIO VELEZ:
Este es el precio base bajo el supuesto de que se compra la cantidad indicada por el estudio de mercado. Esto significa que depende del precio de venta fijado en ese estudio y en adelante, dependerá del volumen que se compre.</t>
        </r>
      </text>
    </comment>
    <comment ref="A34" authorId="0">
      <text>
        <r>
          <rPr>
            <sz val="8"/>
            <rFont val="Tahoma"/>
            <family val="2"/>
          </rPr>
          <t>IGNACIO VELEZ:
Un aumento en el precio de venta producirá una reducción en la demanda y esto afectará el VPN</t>
        </r>
      </text>
    </comment>
    <comment ref="D65" authorId="0">
      <text>
        <r>
          <rPr>
            <sz val="8"/>
            <rFont val="Tahoma"/>
            <family val="2"/>
          </rPr>
          <t>IGNACIO VELEZ:
Los datos del estudio de mercado se vieron afectados por el aumento de precios (factor de elasticidad).</t>
        </r>
      </text>
    </comment>
    <comment ref="D67" authorId="0">
      <text>
        <r>
          <rPr>
            <sz val="8"/>
            <rFont val="Tahoma"/>
            <family val="2"/>
          </rPr>
          <t>IGNACIO VELEZ:
Por la política de mantener una fracción de las ventas del año como inventario.</t>
        </r>
      </text>
    </comment>
    <comment ref="D69" authorId="0">
      <text>
        <r>
          <rPr>
            <sz val="8"/>
            <rFont val="Tahoma"/>
            <family val="2"/>
          </rPr>
          <t>IGNACIO VELEZ:
Por juego de inventarios.</t>
        </r>
      </text>
    </comment>
    <comment ref="D86" authorId="0">
      <text>
        <r>
          <rPr>
            <sz val="8"/>
            <rFont val="Tahoma"/>
            <family val="2"/>
          </rPr>
          <t>IGNACIO VELEZ:
Tanto los precios de compra, como de venta se ven afectados por los aumentos proyectados.</t>
        </r>
      </text>
    </comment>
    <comment ref="D87" authorId="0">
      <text>
        <r>
          <rPr>
            <sz val="8"/>
            <rFont val="Tahoma"/>
            <family val="2"/>
          </rPr>
          <t xml:space="preserve">IGNACIO VELEZ:
Se fija un precio de compra básico que depende de la cantidad comprada y se le aplican los aumentos de cada año. </t>
        </r>
      </text>
    </comment>
    <comment ref="A89" authorId="0">
      <text>
        <r>
          <rPr>
            <sz val="8"/>
            <rFont val="Tahoma"/>
            <family val="2"/>
          </rPr>
          <t>IGNACIO VELEZ:
Todos estos gastos se ven afectados por sus respectivos aumentos.</t>
        </r>
      </text>
    </comment>
    <comment ref="D99" authorId="0">
      <text>
        <r>
          <rPr>
            <sz val="8"/>
            <rFont val="Tahoma"/>
            <family val="2"/>
          </rPr>
          <t>IGNACIO VELEZ:
Este daro no es proyectable con la información que se tiene hasta ahora. La incluyo aquí para que usted observe de dónde sale.</t>
        </r>
      </text>
    </comment>
    <comment ref="A112" authorId="0">
      <text>
        <r>
          <rPr>
            <sz val="8"/>
            <rFont val="Tahoma"/>
            <family val="2"/>
          </rPr>
          <t>IGNACIO VELEZ:
Observe cómo todos los estados financieros están relacionados entre sí.</t>
        </r>
      </text>
    </comment>
    <comment ref="A116" authorId="0">
      <text>
        <r>
          <rPr>
            <sz val="8"/>
            <rFont val="Tahoma"/>
            <family val="2"/>
          </rPr>
          <t>IGNACIO VELEZ:
Este saldo tiene que coincidir con el saldo acumulado del Flujo de Caja o de efectivo. ¿No?</t>
        </r>
      </text>
    </comment>
    <comment ref="A117" authorId="0">
      <text>
        <r>
          <rPr>
            <sz val="8"/>
            <rFont val="Tahoma"/>
            <family val="2"/>
          </rPr>
          <t>IGNACIO VELEZ:
Esta dato coincide con el valor pendiente para el año siguiente en el Flujo de Caja.</t>
        </r>
      </text>
    </comment>
    <comment ref="A119" authorId="0">
      <text>
        <r>
          <rPr>
            <sz val="8"/>
            <rFont val="Tahoma"/>
            <family val="2"/>
          </rPr>
          <t>IGNACIO VELEZ:
Este valor depende de la decisión de inversión de excedentes en el Flujo de Caja.</t>
        </r>
      </text>
    </comment>
    <comment ref="D119" authorId="0">
      <text>
        <r>
          <rPr>
            <sz val="8"/>
            <rFont val="Tahoma"/>
            <family val="2"/>
          </rPr>
          <t>IGNACIO VELEZ:
Esta fórmula significa que el saldo es igual a todo lo que haya ingresado como recuperación de las inversiones menos todo lo que se haya invertido a la fecha.</t>
        </r>
      </text>
    </comment>
    <comment ref="A128" authorId="0">
      <text>
        <r>
          <rPr>
            <sz val="8"/>
            <rFont val="Tahoma"/>
            <family val="2"/>
          </rPr>
          <t>IGNACIO VELEZ:
El Balance "cuadra" sin utilizar cuentas de "cuadre", porque todas las cifras salen de otros estados financieros. (no hay "machete").</t>
        </r>
      </text>
    </comment>
    <comment ref="A137" authorId="0">
      <text>
        <r>
          <rPr>
            <sz val="8"/>
            <rFont val="Tahoma"/>
            <family val="2"/>
          </rPr>
          <t>IGNACIO VELEZ:
Este saldo depende de las decisiones de financiación que se tomen con el Flujo de Caja.</t>
        </r>
      </text>
    </comment>
    <comment ref="C137" authorId="0">
      <text>
        <r>
          <rPr>
            <sz val="8"/>
            <rFont val="Tahoma"/>
            <family val="2"/>
          </rPr>
          <t>IGNACIO VELEZ:
Esta fórmula significa que el saldo es igual a todo lo que haya ingresado como préstamo menos todo lo que se haya pagado de esos préstamos.</t>
        </r>
      </text>
    </comment>
    <comment ref="A132" authorId="0">
      <text>
        <r>
          <rPr>
            <sz val="8"/>
            <rFont val="Tahoma"/>
            <family val="2"/>
          </rPr>
          <t>IGNACIO VELEZ:
Estas 3 cuentas toman su saldo del Flujo de Caja, como el caso de la cartera o cuentas por cobrar.</t>
        </r>
      </text>
    </comment>
    <comment ref="A136" authorId="0">
      <text>
        <r>
          <rPr>
            <sz val="8"/>
            <rFont val="Tahoma"/>
            <family val="2"/>
          </rPr>
          <t>IGNACIO VELEZ:
Sale del Estado de Resultados o Pérdidas y Ganancias.</t>
        </r>
      </text>
    </comment>
    <comment ref="A141" authorId="0">
      <text>
        <r>
          <rPr>
            <sz val="8"/>
            <rFont val="Tahoma"/>
            <family val="2"/>
          </rPr>
          <t>IGNACIO VELEZ:
Para el primer año, sale del P y G. Después hay que tener en cuenta lo que se ha repartido.</t>
        </r>
      </text>
    </comment>
    <comment ref="A152" authorId="0">
      <text>
        <r>
          <rPr>
            <sz val="8"/>
            <rFont val="Tahoma"/>
            <family val="2"/>
          </rPr>
          <t>IGNACIO VELEZ:
Todas las cifras del P y G salen de los datos proyectados y de los datos iniciales.</t>
        </r>
      </text>
    </comment>
    <comment ref="A174" authorId="0">
      <text>
        <r>
          <rPr>
            <sz val="8"/>
            <rFont val="Tahoma"/>
            <family val="2"/>
          </rPr>
          <t>IGNACIO VELEZ:
Estos dos renglones dependen de las decisiones que se tomen en el Flujo de Caja y de las proyecciones de tasas que se hicieron arriba.</t>
        </r>
      </text>
    </comment>
    <comment ref="A188" authorId="0">
      <text>
        <r>
          <rPr>
            <sz val="8"/>
            <rFont val="Tahoma"/>
            <family val="2"/>
          </rPr>
          <t>IGNACIO VELEZ:
Este es el mismo saldo de Caja y Bancos del Balance. ¿No?</t>
        </r>
      </text>
    </comment>
    <comment ref="A190" authorId="0">
      <text>
        <r>
          <rPr>
            <sz val="8"/>
            <rFont val="Tahoma"/>
            <family val="2"/>
          </rPr>
          <t>IGNACIO VELEZ:
Los ingresos de cartera dependen del P y G y de la política o meta de recaudos definida arriba.</t>
        </r>
      </text>
    </comment>
    <comment ref="A196" authorId="0">
      <text>
        <r>
          <rPr>
            <sz val="8"/>
            <rFont val="Tahoma"/>
            <family val="2"/>
          </rPr>
          <t>IGNACIO VELEZ:
Estos dos renglones dependen de las decisiones del período anterior tomadas en la parte final de este Flujo y de las tasas proyectadas arriba.</t>
        </r>
      </text>
    </comment>
    <comment ref="A199" authorId="0">
      <text>
        <r>
          <rPr>
            <sz val="8"/>
            <rFont val="Tahoma"/>
            <family val="2"/>
          </rPr>
          <t>IGNACIO VELEZ:
Estas dos líneas dependen de la política o meta que se fijó arriba sobre el valor de salvamento.</t>
        </r>
      </text>
    </comment>
    <comment ref="A206" authorId="0">
      <text>
        <r>
          <rPr>
            <sz val="8"/>
            <rFont val="Tahoma"/>
            <family val="2"/>
          </rPr>
          <t>IGNACIO VELEZ:
Ver comentario sobre cartera para este renglón y los siguientes.</t>
        </r>
      </text>
    </comment>
    <comment ref="A231" authorId="0">
      <text>
        <r>
          <rPr>
            <sz val="8"/>
            <rFont val="Tahoma"/>
            <family val="2"/>
          </rPr>
          <t xml:space="preserve">IGNACIO VELEZ:
Depende de la decisión que se tome al final del Flujo y de las tasas proyectadas arriba. </t>
        </r>
      </text>
    </comment>
    <comment ref="A223" authorId="0">
      <text>
        <r>
          <rPr>
            <sz val="8"/>
            <rFont val="Tahoma"/>
            <family val="2"/>
          </rPr>
          <t>IGNACIO VELEZ:
Depende de la "política" de reparto de utilidades definida arriba.</t>
        </r>
      </text>
    </comment>
    <comment ref="A224" authorId="0">
      <text>
        <r>
          <rPr>
            <sz val="8"/>
            <rFont val="Tahoma"/>
            <family val="2"/>
          </rPr>
          <t>IGNACIO VELEZ:
Sale del P y G.</t>
        </r>
      </text>
    </comment>
    <comment ref="A229" authorId="0">
      <text>
        <r>
          <rPr>
            <sz val="8"/>
            <rFont val="Tahoma"/>
            <family val="2"/>
          </rPr>
          <t>IGNACIO VELEZ:
Con este saldo acumulado se pueden tomar las decisiones de financiación o de inversión de excedentes de los dos siguientes renglones.</t>
        </r>
      </text>
    </comment>
    <comment ref="A235" authorId="0">
      <text>
        <r>
          <rPr>
            <sz val="8"/>
            <rFont val="Tahoma"/>
            <family val="2"/>
          </rPr>
          <t>IGNACIO VELEZ:
Este saldo es el mismo de Caja y Bancos del Balance. ¿No? Además su monto quedó definido por el "colchón" de seguridad que se definió arriba.</t>
        </r>
      </text>
    </comment>
    <comment ref="D21" authorId="0">
      <text>
        <r>
          <rPr>
            <sz val="8"/>
            <rFont val="Tahoma"/>
            <family val="2"/>
          </rPr>
          <t>Ignacio Velez:
Se establece una función entre tasa antes y después de impuestos que tenga en cuenta el hecho de recibir los ahorros en impuestos al año siguiente. Esta función es para este ejemplo, 
0.7782*tasa nominal - 0.0201</t>
        </r>
      </text>
    </comment>
    <comment ref="A237" authorId="1">
      <text>
        <r>
          <rPr>
            <b/>
            <sz val="8"/>
            <rFont val="Tahoma"/>
            <family val="2"/>
          </rPr>
          <t>Ignacio Vélez:</t>
        </r>
        <r>
          <rPr>
            <sz val="8"/>
            <rFont val="Tahoma"/>
            <family val="2"/>
          </rPr>
          <t xml:space="preserve">
Si se desea obtener el endeudamiento deseado se debe aplicar la opción Buscar objetivo. Las celdas a cambiar serán (dependiendo de la situación) Préstamos Bancarios o Amortización de préstamos. </t>
        </r>
      </text>
    </comment>
  </commentList>
</comments>
</file>

<file path=xl/comments5.xml><?xml version="1.0" encoding="utf-8"?>
<comments xmlns="http://schemas.openxmlformats.org/spreadsheetml/2006/main">
  <authors>
    <author>Un usuario de Microsoft Office satisfecho</author>
  </authors>
  <commentList>
    <comment ref="B5" authorId="0">
      <text>
        <r>
          <rPr>
            <sz val="8"/>
            <rFont val="Tahoma"/>
            <family val="2"/>
          </rPr>
          <t>IGNACIO VELEZ:
Esta es una variable "dummy" que hace que el VPN se calcule con la tasa que incluye inflación si es 1 y con la tasa sin inflación si es 0.</t>
        </r>
      </text>
    </comment>
    <comment ref="H8" authorId="0">
      <text>
        <r>
          <rPr>
            <sz val="8"/>
            <rFont val="Tahoma"/>
            <family val="2"/>
          </rPr>
          <t>IGNACIO VELEZ:
No borrar esta columna. Las celdas con un 1 indican que a esa variable se le hará análisis de sensibilidad. Un 0 indica que no se hará.</t>
        </r>
      </text>
    </comment>
    <comment ref="A34" authorId="0">
      <text>
        <r>
          <rPr>
            <sz val="8"/>
            <rFont val="Tahoma"/>
            <family val="2"/>
          </rPr>
          <t>IGNACIO VELEZ:
Un aumento en el precio de venta producirá una reducción en la demanda y esto afectará el VPN</t>
        </r>
      </text>
    </comment>
    <comment ref="D65" authorId="0">
      <text>
        <r>
          <rPr>
            <sz val="8"/>
            <rFont val="Tahoma"/>
            <family val="2"/>
          </rPr>
          <t>IGNACIO VELEZ:
Los datos del estudio de mercado se vieron afectados por el aumento de precios (factor de elasticidad).</t>
        </r>
      </text>
    </comment>
    <comment ref="D67" authorId="0">
      <text>
        <r>
          <rPr>
            <sz val="8"/>
            <rFont val="Tahoma"/>
            <family val="2"/>
          </rPr>
          <t>IGNACIO VELEZ:
Por la política de mantener una fracción de las ventas del año como inventario.</t>
        </r>
      </text>
    </comment>
    <comment ref="D69" authorId="0">
      <text>
        <r>
          <rPr>
            <sz val="8"/>
            <rFont val="Tahoma"/>
            <family val="2"/>
          </rPr>
          <t>IGNACIO VELEZ:
Por juego de inventarios.</t>
        </r>
      </text>
    </comment>
    <comment ref="D72" authorId="0">
      <text>
        <r>
          <rPr>
            <sz val="8"/>
            <rFont val="Tahoma"/>
            <family val="2"/>
          </rPr>
          <t>IGNACIO VELEZ:
Tanto los precios de compra, como de venta se ven afectados por los aumentos proyectados.</t>
        </r>
      </text>
    </comment>
    <comment ref="D73" authorId="0">
      <text>
        <r>
          <rPr>
            <sz val="8"/>
            <rFont val="Tahoma"/>
            <family val="2"/>
          </rPr>
          <t xml:space="preserve">IGNACIO VELEZ:
Se fija un precio de compra básico que depende de la cantidad comprada y se le aplican los aumentos de cada año. </t>
        </r>
      </text>
    </comment>
    <comment ref="A75" authorId="0">
      <text>
        <r>
          <rPr>
            <sz val="8"/>
            <rFont val="Tahoma"/>
            <family val="2"/>
          </rPr>
          <t>IGNACIO VELEZ:
Todos estos gastos se ven afectados por sus respectivos aumentos.</t>
        </r>
      </text>
    </comment>
    <comment ref="D85" authorId="0">
      <text>
        <r>
          <rPr>
            <sz val="8"/>
            <rFont val="Tahoma"/>
            <family val="2"/>
          </rPr>
          <t>IGNACIO VELEZ:
Este daro no es proyectable con la información que se tiene hasta ahora. La incluyo aquí para que usted observe de dónde sale.</t>
        </r>
      </text>
    </comment>
    <comment ref="A87" authorId="0">
      <text>
        <r>
          <rPr>
            <sz val="8"/>
            <rFont val="Tahoma"/>
            <family val="2"/>
          </rPr>
          <t>IGNACIO VELEZ:
Observe cómo todos los estados financieros están relacionados entre sí.</t>
        </r>
      </text>
    </comment>
    <comment ref="A91" authorId="0">
      <text>
        <r>
          <rPr>
            <sz val="8"/>
            <rFont val="Tahoma"/>
            <family val="2"/>
          </rPr>
          <t>IGNACIO VELEZ:
Este saldo tiene que coincidir con el saldo acumulado del Flujo de Caja o de efectivo. ¿No?</t>
        </r>
      </text>
    </comment>
    <comment ref="A92" authorId="0">
      <text>
        <r>
          <rPr>
            <sz val="8"/>
            <rFont val="Tahoma"/>
            <family val="2"/>
          </rPr>
          <t>IGNACIO VELEZ:
Esta dato coincide con el valor pendiente para el año siguiente en el Flujo de Caja.</t>
        </r>
      </text>
    </comment>
    <comment ref="A94" authorId="0">
      <text>
        <r>
          <rPr>
            <sz val="8"/>
            <rFont val="Tahoma"/>
            <family val="2"/>
          </rPr>
          <t>IGNACIO VELEZ:
Este valor depende de la decisión de inversión de excedentes en el Flujo de Caja.</t>
        </r>
      </text>
    </comment>
    <comment ref="D94" authorId="0">
      <text>
        <r>
          <rPr>
            <sz val="8"/>
            <rFont val="Tahoma"/>
            <family val="2"/>
          </rPr>
          <t>IGNACIO VELEZ:
Esta fórmula significa que el saldo es igual a todo lo que haya ingresado como recuperación de las inversiones menos todo lo que se haya invertido a la fecha.</t>
        </r>
      </text>
    </comment>
    <comment ref="A100" authorId="0">
      <text>
        <r>
          <rPr>
            <sz val="8"/>
            <rFont val="Tahoma"/>
            <family val="2"/>
          </rPr>
          <t>IGNACIO VELEZ:
El Balance "cuadra" sin utilizar cuentas de "cuadre", porque todas las cifras salen de otros estados financieros. (no hay "machete").</t>
        </r>
      </text>
    </comment>
    <comment ref="A109" authorId="0">
      <text>
        <r>
          <rPr>
            <sz val="8"/>
            <rFont val="Tahoma"/>
            <family val="2"/>
          </rPr>
          <t>IGNACIO VELEZ:
Este saldo depende de las decisiones de financiación que se tomen con el Flujo de Caja.</t>
        </r>
      </text>
    </comment>
    <comment ref="C109" authorId="0">
      <text>
        <r>
          <rPr>
            <sz val="8"/>
            <rFont val="Tahoma"/>
            <family val="2"/>
          </rPr>
          <t>IGNACIO VELEZ:
Esta fórmula significa que el saldo es igual a todo lo que haya ingresado como préstamo menos todo lo que se haya pagado de esos préstamos.</t>
        </r>
      </text>
    </comment>
    <comment ref="A104" authorId="0">
      <text>
        <r>
          <rPr>
            <sz val="8"/>
            <rFont val="Tahoma"/>
            <family val="2"/>
          </rPr>
          <t>IGNACIO VELEZ:
Estas 3 cuentas toman su saldo del Flujo de Caja, como el caso de la cartera o cuentas por cobrar.</t>
        </r>
      </text>
    </comment>
    <comment ref="A108" authorId="0">
      <text>
        <r>
          <rPr>
            <sz val="8"/>
            <rFont val="Tahoma"/>
            <family val="2"/>
          </rPr>
          <t>IGNACIO VELEZ:
Sale del Estado de Resultados o Pérdidas y Ganancias.</t>
        </r>
      </text>
    </comment>
    <comment ref="A112" authorId="0">
      <text>
        <r>
          <rPr>
            <sz val="8"/>
            <rFont val="Tahoma"/>
            <family val="2"/>
          </rPr>
          <t>IGNACIO VELEZ:
Para el primer año, sale del P y G. Después hay que tener en cuenta lo que se ha repartido.</t>
        </r>
      </text>
    </comment>
    <comment ref="A119" authorId="0">
      <text>
        <r>
          <rPr>
            <sz val="8"/>
            <rFont val="Tahoma"/>
            <family val="2"/>
          </rPr>
          <t>IGNACIO VELEZ:
Todas las cifras del P y G salen de los datos proyectados y de los datos iniciales.</t>
        </r>
      </text>
    </comment>
    <comment ref="A140" authorId="0">
      <text>
        <r>
          <rPr>
            <sz val="8"/>
            <rFont val="Tahoma"/>
            <family val="2"/>
          </rPr>
          <t>IGNACIO VELEZ:
Estos dos renglones dependen de las decisiones que se tomen en el Flujo de Caja y de las proyecciones de tasas que se hicieron arriba.</t>
        </r>
      </text>
    </comment>
    <comment ref="A149" authorId="0">
      <text>
        <r>
          <rPr>
            <sz val="8"/>
            <rFont val="Tahoma"/>
            <family val="2"/>
          </rPr>
          <t>IGNACIO VELEZ:
Este es el mismo saldo de Caja y Bancos del Balance. ¿No?</t>
        </r>
      </text>
    </comment>
    <comment ref="A151" authorId="0">
      <text>
        <r>
          <rPr>
            <sz val="8"/>
            <rFont val="Tahoma"/>
            <family val="2"/>
          </rPr>
          <t>IGNACIO VELEZ:
Los ingresos de cartera dependen del P y G y de la política o meta de recaudos definida arriba.</t>
        </r>
      </text>
    </comment>
    <comment ref="A157" authorId="0">
      <text>
        <r>
          <rPr>
            <sz val="8"/>
            <rFont val="Tahoma"/>
            <family val="2"/>
          </rPr>
          <t>IGNACIO VELEZ:
Estos dos renglones dependen de las decisiones del período anterior tomadas en la parte final de este Flujo y de las tasas proyectadas arriba.</t>
        </r>
      </text>
    </comment>
    <comment ref="A165" authorId="0">
      <text>
        <r>
          <rPr>
            <sz val="8"/>
            <rFont val="Tahoma"/>
            <family val="2"/>
          </rPr>
          <t>IGNACIO VELEZ:
Ver comentario sobre cartera para este renglón y los siguientes.</t>
        </r>
      </text>
    </comment>
    <comment ref="A190" authorId="0">
      <text>
        <r>
          <rPr>
            <sz val="8"/>
            <rFont val="Tahoma"/>
            <family val="2"/>
          </rPr>
          <t xml:space="preserve">IGNACIO VELEZ:
Depende de la decisión que se tome al final del Flujo y de las tasas proyectadas arriba. </t>
        </r>
      </text>
    </comment>
    <comment ref="A181" authorId="0">
      <text>
        <r>
          <rPr>
            <sz val="8"/>
            <rFont val="Tahoma"/>
            <family val="2"/>
          </rPr>
          <t>IGNACIO VELEZ:
Depende de la "política" de reparto de utilidades definida arriba.</t>
        </r>
      </text>
    </comment>
    <comment ref="A183" authorId="0">
      <text>
        <r>
          <rPr>
            <sz val="8"/>
            <rFont val="Tahoma"/>
            <family val="2"/>
          </rPr>
          <t>IGNACIO VELEZ:
Sale del P y G.</t>
        </r>
      </text>
    </comment>
    <comment ref="A188" authorId="0">
      <text>
        <r>
          <rPr>
            <sz val="8"/>
            <rFont val="Tahoma"/>
            <family val="2"/>
          </rPr>
          <t>IGNACIO VELEZ:
Con este saldo acumulado se pueden tomar las decisiones de financiación o de inversión de excedentes de los dos siguientes renglones.</t>
        </r>
      </text>
    </comment>
    <comment ref="A194" authorId="0">
      <text>
        <r>
          <rPr>
            <sz val="8"/>
            <rFont val="Tahoma"/>
            <family val="2"/>
          </rPr>
          <t>IGNACIO VELEZ:
Este saldo es el mismo de Caja y Bancos del Balance. ¿No? Además su monto quedó definido por el "colchón" de seguridad que se definió arriba.</t>
        </r>
      </text>
    </comment>
    <comment ref="A200" authorId="0">
      <text>
        <r>
          <rPr>
            <sz val="8"/>
            <rFont val="Tahoma"/>
            <family val="2"/>
          </rPr>
          <t>IGNACIO VELEZ:
Todo esto está explicado en el capítulo 6 de Decisiones de Inversión de Ignacio Vélez.</t>
        </r>
      </text>
    </comment>
    <comment ref="A209" authorId="0">
      <text>
        <r>
          <rPr>
            <sz val="8"/>
            <rFont val="Tahoma"/>
            <family val="2"/>
          </rPr>
          <t>IGNACIO VELEZ:
No se incluye el arriendo por no haberse calculado en el costo de capital, como parte de ese costo.</t>
        </r>
      </text>
    </comment>
    <comment ref="A210" authorId="0">
      <text>
        <r>
          <rPr>
            <sz val="8"/>
            <rFont val="Tahoma"/>
            <family val="2"/>
          </rPr>
          <t>IGNACIO VELEZ:
No se incluye el arriendo por no haberse calculado en el costo de capital, como parte de ese costo.</t>
        </r>
      </text>
    </comment>
    <comment ref="A232" authorId="0">
      <text>
        <r>
          <rPr>
            <sz val="8"/>
            <rFont val="Tahoma"/>
            <family val="2"/>
          </rPr>
          <t>IGNACIO VELEZ:
Este factor es 1/((1+i1)x(1+i2)x...x(1+in)) y servirá para hallar el VPN.</t>
        </r>
      </text>
    </comment>
    <comment ref="C233" authorId="0">
      <text>
        <r>
          <rPr>
            <sz val="8"/>
            <rFont val="Tahoma"/>
            <family val="2"/>
          </rPr>
          <t>IGNACIO VELEZ:
Observe que no se usan las funciones de Excel VA, ni VNA, porque las tasas son variables.</t>
        </r>
      </text>
    </comment>
    <comment ref="A234" authorId="0">
      <text>
        <r>
          <rPr>
            <sz val="8"/>
            <rFont val="Tahoma"/>
            <family val="2"/>
          </rPr>
          <t xml:space="preserve">IGNACIO VELEZ:
La reinversión al 0% debe hacerse por lo comentado el el flujo del año 1 de arriba. Si esas sumas se dejan allí, al calcular el VPN se supone que quedan invertidas a la tasa de descuento y se sabe que no es así. Capítulos 4 y 5. </t>
        </r>
      </text>
    </comment>
    <comment ref="A237" authorId="0">
      <text>
        <r>
          <rPr>
            <sz val="8"/>
            <rFont val="Tahoma"/>
            <family val="2"/>
          </rPr>
          <t>IGNACIO VELEZ:
El flujo de caja del inversionista es sencillamente lo que él invierte y lo que recibe como utilidades y cualquier suma al momento de liquidar (saldo final acumulado del Flujo de Caja).</t>
        </r>
      </text>
    </comment>
    <comment ref="A238" authorId="0">
      <text>
        <r>
          <rPr>
            <sz val="8"/>
            <rFont val="Tahoma"/>
            <family val="2"/>
          </rPr>
          <t>IGNACIO VELEZ:
Este factor es 1/((1+i1)x(1+i2)x...x(1+in)) y servirá para hallar el VPN.</t>
        </r>
      </text>
    </comment>
    <comment ref="C260" authorId="0">
      <text>
        <r>
          <rPr>
            <sz val="8"/>
            <rFont val="Tahoma"/>
            <family val="2"/>
          </rPr>
          <t>IGNACIO VELEZ:
Observe que no se usan las funciones de Excel VA, ni VNA, porque las tasas son variables.</t>
        </r>
      </text>
    </comment>
    <comment ref="C230" authorId="0">
      <text>
        <r>
          <rPr>
            <sz val="8"/>
            <rFont val="Tahoma"/>
            <family val="2"/>
          </rPr>
          <t>IGNACIO VELEZ:
Recuerde que aquí hay unos fondos que  ya salieron de la firma (utilidades).</t>
        </r>
      </text>
    </comment>
    <comment ref="A211" authorId="0">
      <text>
        <r>
          <rPr>
            <sz val="8"/>
            <rFont val="Tahoma"/>
            <family val="2"/>
          </rPr>
          <t>IGNACIO VELEZ:
No se incluye el arriendo por no haberse calculado en el costo de capital, como parte de ese costo.</t>
        </r>
      </text>
    </comment>
    <comment ref="D21" authorId="0">
      <text>
        <r>
          <rPr>
            <sz val="8"/>
            <rFont val="Tahoma"/>
            <family val="2"/>
          </rPr>
          <t>Ignacio Velez:
Se establece una función entre tasa antes y después de impuestos que tenga en cuenta el hecho de recibir los ahorros en impuestos al año siguiente. Esta función es para este ejemplo, 
0.7782*tasa nominal - 0.0201</t>
        </r>
      </text>
    </comment>
    <comment ref="C31" authorId="0">
      <text>
        <r>
          <rPr>
            <sz val="8"/>
            <rFont val="Tahoma"/>
            <family val="2"/>
          </rPr>
          <t>IGNACIO VELEZ:
Este es el precio base bajo el supuesto de que se compra la cantidad indicada por el estudio de mercado. Esto significa que depende del precio de venta fijado en ese estudio y en adelante, dependerá del volumen que se compre.</t>
        </r>
      </text>
    </comment>
    <comment ref="C34" authorId="0">
      <text>
        <r>
          <rPr>
            <sz val="8"/>
            <rFont val="Tahoma"/>
            <family val="2"/>
          </rPr>
          <t>IGNACIO VELEZ:
Un aumento en el precio de venta producirá una reducción en la demanda y esto afectará el VPN</t>
        </r>
      </text>
    </comment>
    <comment ref="D230" authorId="0">
      <text>
        <r>
          <rPr>
            <sz val="8"/>
            <rFont val="Tahoma"/>
            <family val="2"/>
          </rPr>
          <t>IGNACIO VELEZ:
Recuerde que aquí hay unos fondos que  ya salieron de la firma (utilidades).</t>
        </r>
      </text>
    </comment>
    <comment ref="E230" authorId="0">
      <text>
        <r>
          <rPr>
            <sz val="8"/>
            <rFont val="Tahoma"/>
            <family val="2"/>
          </rPr>
          <t>IGNACIO VELEZ:
Recuerde que aquí hay unos fondos que  ya salieron de la firma (utilidades).</t>
        </r>
      </text>
    </comment>
    <comment ref="F230" authorId="0">
      <text>
        <r>
          <rPr>
            <sz val="8"/>
            <rFont val="Tahoma"/>
            <family val="2"/>
          </rPr>
          <t>IGNACIO VELEZ:
Recuerde que aquí hay unos fondos que  ya salieron de la firma (utilidades).</t>
        </r>
      </text>
    </comment>
    <comment ref="G230" authorId="0">
      <text>
        <r>
          <rPr>
            <sz val="8"/>
            <rFont val="Tahoma"/>
            <family val="2"/>
          </rPr>
          <t>IGNACIO VELEZ:
Recuerde que aquí hay unos fondos que  ya salieron de la firma (utilidades).</t>
        </r>
      </text>
    </comment>
  </commentList>
</comments>
</file>

<file path=xl/sharedStrings.xml><?xml version="1.0" encoding="utf-8"?>
<sst xmlns="http://schemas.openxmlformats.org/spreadsheetml/2006/main" count="863" uniqueCount="522">
  <si>
    <t>TOTAL</t>
  </si>
  <si>
    <t>DECISION:</t>
  </si>
  <si>
    <t>DECISION</t>
  </si>
  <si>
    <t>WACC</t>
  </si>
  <si>
    <r>
      <t xml:space="preserve">Todas las referencias de capítulos se refieren al libro </t>
    </r>
    <r>
      <rPr>
        <b/>
        <sz val="10"/>
        <rFont val="Times New Roman"/>
        <family val="1"/>
      </rPr>
      <t>Decisiones de Inversión</t>
    </r>
    <r>
      <rPr>
        <sz val="10"/>
        <rFont val="Times New Roman"/>
        <family val="1"/>
      </rPr>
      <t xml:space="preserve"> de Ignacio Vélez</t>
    </r>
  </si>
  <si>
    <t>EVALUACION FINANCIERA DE LA CREACION DE UNA EMPRESA</t>
  </si>
  <si>
    <t>SE PLANEA LA CREACION DE UNA EMPRESA Y SE CUENTA CON LOS SIGUIENTES ESTIMATIVOS</t>
  </si>
  <si>
    <t>AÑO 0</t>
  </si>
  <si>
    <t>AÑO 1</t>
  </si>
  <si>
    <t>AÑO 2</t>
  </si>
  <si>
    <t>AÑO 3</t>
  </si>
  <si>
    <t>AÑO 4</t>
  </si>
  <si>
    <t>TASA DE DESCUENTO CORRIENTE (SI=1,NO=0)=</t>
  </si>
  <si>
    <t>VARIABLES EXTERNAS A LA FIRMA (EXOGENAS) NO NEGOCIABLES O CON UN NIVEL MUY BAJO DE POSIBILIDAD DE NEGOCIACION.</t>
  </si>
  <si>
    <t>Diseño de macro: Guillermo Rossi</t>
  </si>
  <si>
    <t>1 TASA DE IMPORRENTA</t>
  </si>
  <si>
    <t>2 INFLACION (COMPONENTE INFLACIONARIA EN TASA DE DESCUENTO)</t>
  </si>
  <si>
    <t>3 UNIDADES A VENDER EL PRIMER AÑO SEGUN ESTUDIO DE MERCADO M=</t>
  </si>
  <si>
    <t>4 AUMENTOS EN NIVEL DE VENTAS</t>
  </si>
  <si>
    <t>5 TASA DE DESCUENTO REAL</t>
  </si>
  <si>
    <t>6 TASAS DE INTERES DE FINANCIACION</t>
  </si>
  <si>
    <t>COMPONENTE DE RIESGO</t>
  </si>
  <si>
    <t>TASA ANUAL SV</t>
  </si>
  <si>
    <t>Tasa efectiva anual DESPUES DE IMPUESTOS</t>
  </si>
  <si>
    <t>7 TASAS DE INTERES DE COLOCACION DE EXCEDENTES. SE COMPRAN PAPELES A FINAL DEL AÑO, LOS INTERESES SE CAUSAN RECIBEN A LA TASA DEL Y EN EL AÑO SIGUIENTE. EN AÑO 4 NO SE INVIERTE.</t>
  </si>
  <si>
    <t>COMPONENTE DE RIESGO DEL INVERSIONISTA</t>
  </si>
  <si>
    <t>Costo de oportunidad de los accionistas</t>
  </si>
  <si>
    <t>8 COSTO de capital DESPUÉS DE IMPUESTOS</t>
  </si>
  <si>
    <t>9 TASA DE DESCUENTO A PRECIOS CORRIENTES i% DESPUES DE IMPUESTOS (MAX(C.CAP, C OPORT))</t>
  </si>
  <si>
    <t>10 PRECIO DE COMPRA</t>
  </si>
  <si>
    <t>11 AUMENTOS EN PRECIOS DE COMPRA</t>
  </si>
  <si>
    <t>VARIABLES INTERNAS DE LA FIRMA (ENDOGENAS) MANEJABLES POR LA FIRMA O CON UN NIVEL MUY ALTO DE POSIBILIDAD DE NEGOCIACION.</t>
  </si>
  <si>
    <t>12 PRECIO DE VENTA</t>
  </si>
  <si>
    <t>13 AUMENTOS EN PRECIOS DE VENTA</t>
  </si>
  <si>
    <t>14 EFECTO DEL CAMBIO DE LOS PRECIOS RELATIVOS EFECTO DEL CAMBIO DE PRECIOS (1-.366*((1+AUMENTO PR VTA EST.)/(1+INFLACION)-1))</t>
  </si>
  <si>
    <t>17 GASTOS GENERALES MENSUALES</t>
  </si>
  <si>
    <t>18 AUMENTOS EN GASTOS GENERALES</t>
  </si>
  <si>
    <t>19 SALARIOS MENSUALES</t>
  </si>
  <si>
    <t>SALARIOS ADMINISTRACION</t>
  </si>
  <si>
    <t>SALARIOS VENTAS (BASICO)</t>
  </si>
  <si>
    <t>20 AUMENTOS EN SALARIOS</t>
  </si>
  <si>
    <t>21 COMISIONES SOBRE VENTAS</t>
  </si>
  <si>
    <t>VARIABLES INTERNAS DE LA FIRMA (ENDOGENAS) MANEJABLES POR LA FIRMA, METAS O POLITICAS.</t>
  </si>
  <si>
    <t>23 LA AMORTIZACION DE LOS PRESTAMOS SE DEBE REALIZAR TAN PRONTO HAYA DISPONIBILIDAD</t>
  </si>
  <si>
    <t>24 PUBLICIDAD (% SOBRE VENTAS)</t>
  </si>
  <si>
    <t>25 CAPITAL INVERTIDO EN DINERO</t>
  </si>
  <si>
    <t>26 LOS ACTIVOS FIJOS VALEN</t>
  </si>
  <si>
    <t>27 DEPRECIACION LINEAL DURANTE CINCO ANOS.</t>
  </si>
  <si>
    <t>28 HAY APORTES DE CAPITAL EN ACTIVOS FIJOS QUE VALEN</t>
  </si>
  <si>
    <t xml:space="preserve">29 EL INVENTARIO FINAL ES LAS VENTAS DEL AÑO DIVIDAS POR </t>
  </si>
  <si>
    <t>30 LOS INVENTARIOS SE VALUAN DE ACUERDO CON LA POLITICA PEPS</t>
  </si>
  <si>
    <t>31 PORCENTAJE DE LAS VENTAS RECIBIDO EN EL MISMO AÑO</t>
  </si>
  <si>
    <t>32 PORCENTAJE DE LAS VENTAS RECIBIDO EL AÑO SIGUIENTE</t>
  </si>
  <si>
    <t>33 PORCENTAJE DE LOS PAGOS DE PROVEEDORES Y GASTOS GENERALES QUE SE PAGAN  EN EL MISMO AÑO</t>
  </si>
  <si>
    <t>34 PORCENTAJE DE LOS PAGOS DE PROVEEDORES Y GASTOS GENERALES QUE SE PAGAN  EN EL AÑO SIGUIENTE</t>
  </si>
  <si>
    <t>36 PORCENTAJE DE LAS UTILIDADES QUE SE REPARTEN AL AÑO SIGUIENTE DE GENERADAS.</t>
  </si>
  <si>
    <t>INFORMACION GENERADA A PARTIR DE LOS DATOS ESTIMADOS</t>
  </si>
  <si>
    <t>UNIDADES VENDIDAS CON ELASTICIDAD Y AUMENTO</t>
  </si>
  <si>
    <t>AUMENTO EN UNIDADES VENDIDAS</t>
  </si>
  <si>
    <t>INVENTARIO FINAL (UNIDADES)</t>
  </si>
  <si>
    <t>INVENTARIO INICIAL (UNIDADES)</t>
  </si>
  <si>
    <t>COMPRAS (UNIDADES)</t>
  </si>
  <si>
    <t>DEPRECIACION ANUAL</t>
  </si>
  <si>
    <t>DEPRECIACION ACUMULADA</t>
  </si>
  <si>
    <t>PRECIOS DE VENTA</t>
  </si>
  <si>
    <t>PRECIOS DE COMPRA</t>
  </si>
  <si>
    <t>MARGEN EN VENTA</t>
  </si>
  <si>
    <t>GASTOS ANUALES</t>
  </si>
  <si>
    <t>CESANTIAS ADMINISTRACION</t>
  </si>
  <si>
    <t>SALARIOS VENTAS</t>
  </si>
  <si>
    <t>COMISIONES</t>
  </si>
  <si>
    <t>CESANTIAS VENTAS</t>
  </si>
  <si>
    <t>GASTOS GENERALES</t>
  </si>
  <si>
    <t>PUBLICIDAD</t>
  </si>
  <si>
    <t>PAGO DE INTERESES</t>
  </si>
  <si>
    <t>BALANCE GENERAL</t>
  </si>
  <si>
    <t>ACTIVO</t>
  </si>
  <si>
    <t>CAJA Y BANCOS</t>
  </si>
  <si>
    <t>CUENTAS POR COBRAR</t>
  </si>
  <si>
    <t>INVENTARIOS</t>
  </si>
  <si>
    <t>INVERSIONES</t>
  </si>
  <si>
    <t>INTERESES POR COBRAR</t>
  </si>
  <si>
    <t>ACTIVOS FIJOS</t>
  </si>
  <si>
    <t>ACTIVOS FIJOS NETOS</t>
  </si>
  <si>
    <t>PASIVO Y CAPITAL</t>
  </si>
  <si>
    <t>BANCOS</t>
  </si>
  <si>
    <t>CUENTAS POR PAGAR PROVEEDORES</t>
  </si>
  <si>
    <t>CUENTAS POR PAGAR GASTOS GENERALES</t>
  </si>
  <si>
    <t>PRESTACIONES SOCIALES POR PAGAR</t>
  </si>
  <si>
    <t>IMPUESTOS POR PAGAR</t>
  </si>
  <si>
    <t>TOTAL PASIVOS</t>
  </si>
  <si>
    <t>CAPITAL</t>
  </si>
  <si>
    <t>UTILIDADES RETENIDAS</t>
  </si>
  <si>
    <t>Verificación del balance</t>
  </si>
  <si>
    <t>ESTADO DE PERDIDAS Y GANANCIAS PROYECTADO</t>
  </si>
  <si>
    <t>VENTAS</t>
  </si>
  <si>
    <t>COSTO DE VENTAS</t>
  </si>
  <si>
    <t>INVENTARIO INICIAL</t>
  </si>
  <si>
    <t>COMPRAS</t>
  </si>
  <si>
    <t>INVENTARIO FINAL</t>
  </si>
  <si>
    <t>UTILIDAD BRUTA</t>
  </si>
  <si>
    <t>GASTOS DE ADMON Y VENTAS</t>
  </si>
  <si>
    <t>SUELDOS Y PRESTACIONES DIFERENTES A CESANTIA</t>
  </si>
  <si>
    <t>CESANTIAS</t>
  </si>
  <si>
    <t>COMISIONES DE VENTAS</t>
  </si>
  <si>
    <t>DEPRECIACION</t>
  </si>
  <si>
    <t>UTILIDAD OPERACIONAL</t>
  </si>
  <si>
    <t>OTROS INGRESOS</t>
  </si>
  <si>
    <t>UTILIDAD ANTES DE IMPUESTOS</t>
  </si>
  <si>
    <t>PROVISION PARA IMPUESTOS</t>
  </si>
  <si>
    <t>UTILIDAD NETA</t>
  </si>
  <si>
    <t>SALDO INICIAL</t>
  </si>
  <si>
    <t>INGRESOS</t>
  </si>
  <si>
    <t>VENTAS ANO 1</t>
  </si>
  <si>
    <t>VENTAS ANO 2</t>
  </si>
  <si>
    <t>VENTAS ANO 3</t>
  </si>
  <si>
    <t>VENTA DE PAPELES DE BOLSA</t>
  </si>
  <si>
    <t>RENDIMIENTOS DE INVERSIONES</t>
  </si>
  <si>
    <t>APORTES DE CAPITAL EN EFECTIVO</t>
  </si>
  <si>
    <t>VENTA INVENTARIOS</t>
  </si>
  <si>
    <t>VENTA ACTIVOS FIJOS</t>
  </si>
  <si>
    <t>TOTAL INGRESOS</t>
  </si>
  <si>
    <t>EGRESOS</t>
  </si>
  <si>
    <t>PROVEEDORES</t>
  </si>
  <si>
    <t>COMPRAS ANO 1</t>
  </si>
  <si>
    <t>COMPRAS ANO 2</t>
  </si>
  <si>
    <t>COMPRAS ANO 3</t>
  </si>
  <si>
    <t>SUELDOS Y PRESTACIONES</t>
  </si>
  <si>
    <t>GASTOS GENERALES ANO 1</t>
  </si>
  <si>
    <t>GASTOS GENERALES ANO 2</t>
  </si>
  <si>
    <t>GASTOS GENERALES ANO 3</t>
  </si>
  <si>
    <t>COMPRA DE ACTIVOS</t>
  </si>
  <si>
    <t>UTILIDADES REPARTIDAS</t>
  </si>
  <si>
    <t>IMPUESTOS</t>
  </si>
  <si>
    <t>TOTAL EGRESOS</t>
  </si>
  <si>
    <t>SALDO DEL ANO</t>
  </si>
  <si>
    <t>SALDO ACUMULADO</t>
  </si>
  <si>
    <t>PRESTAMOS BANCARIOS</t>
  </si>
  <si>
    <t>AMORTIZACION DE PRESTAMOS</t>
  </si>
  <si>
    <t>INVERSION EN PAPELES DE BOLSA</t>
  </si>
  <si>
    <t>NUEVO SALDO DEL ANO</t>
  </si>
  <si>
    <t>ENDEUDAMIENTO DESEADO</t>
  </si>
  <si>
    <t>ENDEUDAMIENTO CALCULADO</t>
  </si>
  <si>
    <t>AHORA SE VA A CALCULAR EL FLUJO DE CAJA DEL PROYECTO. CON ESTE FLUJO</t>
  </si>
  <si>
    <t>SE CALCULA EL VPN A LAS TASAS DE DESCUENTO. EL</t>
  </si>
  <si>
    <t>PROGRAMA INDICA QUE DECISION TOMAR.</t>
  </si>
  <si>
    <t>PARA LOS PERIODOS 1 EN ADELANTE</t>
  </si>
  <si>
    <t>(MAS)</t>
  </si>
  <si>
    <t>(MENOS)</t>
  </si>
  <si>
    <t>AHORRO EN IMPUESTOS POR INTERESES</t>
  </si>
  <si>
    <t>PARA EL PERIODO 0: TOTAL DE ACTIVOS</t>
  </si>
  <si>
    <t>FLUJO DE CAJA DEL PROYECTO DESPUES DE IMPUESTOS</t>
  </si>
  <si>
    <t>FACTOR DE VALOR PRESENTE</t>
  </si>
  <si>
    <t>VPN (TASA(S) DE DESCUENTO) DESPUES DE IMPUESTO</t>
  </si>
  <si>
    <t>FLUJO DE CAJA CON "REINVERSION" AL 0% DI</t>
  </si>
  <si>
    <t>FACTOR DE VALOR PRESENTE A LA TASA DE OPORTUNIDAD DESPUES DE IMPUESTOS</t>
  </si>
  <si>
    <t>VPN (TASA DE DESCUENTO) DESPUES DE IMPUESTOS</t>
  </si>
  <si>
    <t>flujo del proyecto</t>
  </si>
  <si>
    <t>flujo de la financiación</t>
  </si>
  <si>
    <t>flujo del accionista</t>
  </si>
  <si>
    <t>Flujo de caja libre del proyecto = suma fin + accioncons</t>
  </si>
  <si>
    <t>EVA TOTAL</t>
  </si>
  <si>
    <t>EVA=FCLP-WACC*ACT(t-1)-DEP</t>
  </si>
  <si>
    <t>EVA=FCLP-WACC*ACT(t-1)-INVER/N</t>
  </si>
  <si>
    <t>EVA=FCLP-WACC*ACT(t-1)-INVER/N+INV EXCED-RECUP INV</t>
  </si>
  <si>
    <t>VPN HASTA t</t>
  </si>
  <si>
    <t>VPN</t>
  </si>
  <si>
    <t>UTILIDAD ANTES DE INTERESES</t>
  </si>
  <si>
    <t>COSTO de capital DESPUÉS DE IMPUESTOS</t>
  </si>
  <si>
    <t>TOTAL DE ACTIVOS</t>
  </si>
  <si>
    <t>PATRIMONIO (CAPITAL + UTILIDADES RETENIDAS)</t>
  </si>
  <si>
    <t>INVERSION</t>
  </si>
  <si>
    <t>VPN r=0</t>
  </si>
  <si>
    <t>VPN invers</t>
  </si>
  <si>
    <t>VPN CON 100% FONDOS PROPIOS</t>
  </si>
  <si>
    <t>VP AHORROS EN IMPUESTOS</t>
  </si>
  <si>
    <t>VPNA</t>
  </si>
  <si>
    <t>EL FLUJO DE CAJA  DEL ACCIONISTA ES IGUAL AL SALDO DEL AÑO (DESPUÉS DE FINANCIACIÓN Y REINVERSIÓN DE EXCEDENTES) MÁS LAS UTILIDADES RECIBIDAS MENOS LOS APORTES (PARA LOS PERÍODOS 0 A N-1). EN EL ÚLTIMO SE LE AGREGA A LO ANTERIOR (LAS UTILIDADES RECIB</t>
  </si>
  <si>
    <t>Tasa efectiva anual antes de impuestos</t>
  </si>
  <si>
    <t>INGRESOS DE CARTERA</t>
  </si>
  <si>
    <t>OTRAS PRESTACIONES (48,6 S%ALARIOS Y COMISIONES)</t>
  </si>
  <si>
    <t>37 SE DESEA MANTENER UN SALDO DE SEGURIDAD EN BANCOS DESPUES DE INVERTIR EXCEDENTES</t>
  </si>
  <si>
    <t>38 SE DESEA MANTENER UN SALDO DE SEGURIDAD EN BANCOS DESPUES DE FINANCIAR DEFICIT DE</t>
  </si>
  <si>
    <t>22 PRESTACIONES SOBRE SALARIOS Y COMISIONES.</t>
  </si>
  <si>
    <t>GASTOS FINANCIEROS</t>
  </si>
  <si>
    <t>UTILIDADES DEL EJERCICIO</t>
  </si>
  <si>
    <t>MVA = VP(EVA)</t>
  </si>
  <si>
    <t>Costo de oportunidad para inversión a corto plazo efectiva antes de impuestos</t>
  </si>
  <si>
    <t>aumento en "cap tr"</t>
  </si>
  <si>
    <t>INGRESOS NETOS POR VENTA DE ACTIVOS</t>
  </si>
  <si>
    <t>FCA</t>
  </si>
  <si>
    <t>Net profit</t>
  </si>
  <si>
    <t xml:space="preserve">Plus depreciation and amortization </t>
  </si>
  <si>
    <t>Minus investment</t>
  </si>
  <si>
    <t>Minus working capital change</t>
  </si>
  <si>
    <t>Minus principal payments</t>
  </si>
  <si>
    <t>Plus proceeds from new debt</t>
  </si>
  <si>
    <t>fca</t>
  </si>
  <si>
    <t>cap tarabjo tradicional</t>
  </si>
  <si>
    <t>flujos de pyg ivp</t>
  </si>
  <si>
    <t>dif con ivp</t>
  </si>
  <si>
    <t>aum cap tr tradic</t>
  </si>
  <si>
    <t>current assets trad</t>
  </si>
  <si>
    <t>current liabil trad</t>
  </si>
  <si>
    <t>Earnings before interest and taxes ebit</t>
  </si>
  <si>
    <t>minus taxes on ebit tebit</t>
  </si>
  <si>
    <t>plus depreciation charges dc</t>
  </si>
  <si>
    <t>minus change in working capital (cwc)</t>
  </si>
  <si>
    <t>fcf</t>
  </si>
  <si>
    <t>VENTAS ANO 4</t>
  </si>
  <si>
    <t>COMPRAS ANO 4</t>
  </si>
  <si>
    <t>GASTOS GENERALES ANO 4</t>
  </si>
  <si>
    <t>FCLP</t>
  </si>
  <si>
    <t xml:space="preserve">  -FPd</t>
  </si>
  <si>
    <t xml:space="preserve"> +IB</t>
  </si>
  <si>
    <t xml:space="preserve"> + Ingreso bruto</t>
  </si>
  <si>
    <t xml:space="preserve"> -gastos operacionales</t>
  </si>
  <si>
    <t xml:space="preserve"> +vr de salvamento</t>
  </si>
  <si>
    <t xml:space="preserve"> +VS</t>
  </si>
  <si>
    <t xml:space="preserve"> -GO</t>
  </si>
  <si>
    <t xml:space="preserve"> -IGxT</t>
  </si>
  <si>
    <t xml:space="preserve"> -impuestos</t>
  </si>
  <si>
    <t xml:space="preserve"> ++(ingr préstamo-pago intereses-pago princip)</t>
  </si>
  <si>
    <t xml:space="preserve"> +FDr-FDd</t>
  </si>
  <si>
    <t xml:space="preserve"> +ingres aport patr</t>
  </si>
  <si>
    <t xml:space="preserve"> +FPr</t>
  </si>
  <si>
    <t xml:space="preserve"> -aportes de x patrimonio</t>
  </si>
  <si>
    <t>dif ivp</t>
  </si>
  <si>
    <t>TOTAL INGRESO DE CARTERA</t>
  </si>
  <si>
    <t>TOTAL PAGO A PROVEEDORES</t>
  </si>
  <si>
    <t>fcdeuda</t>
  </si>
  <si>
    <t>cuadra con ivp util</t>
  </si>
  <si>
    <t>suma de fca util +fcdeuda</t>
  </si>
  <si>
    <t>tax shield for interest</t>
  </si>
  <si>
    <t>FCDEUDA</t>
  </si>
  <si>
    <t>util neta</t>
  </si>
  <si>
    <t>deprec</t>
  </si>
  <si>
    <t>interes</t>
  </si>
  <si>
    <t>tax shiel for interest</t>
  </si>
  <si>
    <t>UAII</t>
  </si>
  <si>
    <t>UAIIxT</t>
  </si>
  <si>
    <t>Deprec</t>
  </si>
  <si>
    <t>Valor terminal</t>
  </si>
  <si>
    <t>Fcdeuda</t>
  </si>
  <si>
    <t>suma fcd + fca</t>
  </si>
  <si>
    <t>comp con fclp</t>
  </si>
  <si>
    <t>ebit</t>
  </si>
  <si>
    <t>Earnings before interest and taxes EBIT</t>
  </si>
  <si>
    <t>minus taxes on EBIT TEBIT</t>
  </si>
  <si>
    <t>plus depreciation charges DC</t>
  </si>
  <si>
    <t>minus change in working capital (CWC)</t>
  </si>
  <si>
    <t>minus investment in project IP</t>
  </si>
  <si>
    <t>plus return on investment of cash surplus x (1-T) RI</t>
  </si>
  <si>
    <t>For period n add the present value of future EBIT after taxes</t>
  </si>
  <si>
    <t>HONORARIOS</t>
  </si>
  <si>
    <t>15 HONORARIOS MENSUALES DE AUDITORIA</t>
  </si>
  <si>
    <t>16 AUMENTOS EN HONORARIOS</t>
  </si>
  <si>
    <t>dif con ivp fce</t>
  </si>
  <si>
    <t>comparación FCF</t>
  </si>
  <si>
    <t>IVP desde CB-EBIT-NP</t>
  </si>
  <si>
    <t>DAMODARAN</t>
  </si>
  <si>
    <t>WESTON Y COPELAND/COPELAND ET AL</t>
  </si>
  <si>
    <t>BLANK Y TARQUIN</t>
  </si>
  <si>
    <t>DIFERENCIA CON IVP</t>
  </si>
  <si>
    <t>comparación CFE</t>
  </si>
  <si>
    <t>SALDO BCO</t>
  </si>
  <si>
    <t>RENDIMIENTO INVERSIONES</t>
  </si>
  <si>
    <t>from net profits</t>
  </si>
  <si>
    <t>Net income (net profit np)</t>
  </si>
  <si>
    <t>Plus depreciation and amortization</t>
  </si>
  <si>
    <t>Minus investment in project</t>
  </si>
  <si>
    <t>Minus change in working capital cwc</t>
  </si>
  <si>
    <t>plus interest expense</t>
  </si>
  <si>
    <t>minus tax shield from interest payments</t>
  </si>
  <si>
    <t>dif from ebit</t>
  </si>
  <si>
    <t>saldo de cartera año5</t>
  </si>
  <si>
    <t>saldos año 5</t>
  </si>
  <si>
    <t>FLUJO DE TESORERIA</t>
  </si>
  <si>
    <t>TASA DE DESCUENTO PARA FLUJOS 5 EN ADELANTE</t>
  </si>
  <si>
    <t>CRECIMIENTO PARA AÑO 5</t>
  </si>
  <si>
    <t>CRECIMIENTO PARA AÑO 6 EN ADELANTE</t>
  </si>
  <si>
    <t>ingresos</t>
  </si>
  <si>
    <t>cartera</t>
  </si>
  <si>
    <t>pagos a proveed</t>
  </si>
  <si>
    <t>INTERESES POR PAGAR</t>
  </si>
  <si>
    <t>INTERESES RECIBIDOS</t>
  </si>
  <si>
    <t>INVERSIONES RECUP Y DEL EPERIODO</t>
  </si>
  <si>
    <t>FLUJO DE CAJA LIBRE</t>
  </si>
  <si>
    <t>AHORRO EN IMPUESTOS POR intereses PAGADOS EN T-1</t>
  </si>
  <si>
    <t>si</t>
  </si>
  <si>
    <t>inversion en activos=activosnetos t +deprect-act netos (t-1)</t>
  </si>
  <si>
    <t>APORTES DE CAPITAL EN ESPECIE</t>
  </si>
  <si>
    <t>FACT VP</t>
  </si>
  <si>
    <t>INVERSION RECUPERADA Y VALOR AGREGADO</t>
  </si>
  <si>
    <t>VPN ACUM T</t>
  </si>
  <si>
    <t>irva INVERSION RECUPERADA Y VALOR AGREGADO</t>
  </si>
  <si>
    <t>IRVA</t>
  </si>
  <si>
    <t>FACTOR VP</t>
  </si>
  <si>
    <t>COSTO DEL DINERO</t>
  </si>
  <si>
    <t>TASAS</t>
  </si>
  <si>
    <t>INVERSION NO AMORTIZADA O VALOR AGREGADO</t>
  </si>
  <si>
    <t>FCLP REAL</t>
  </si>
  <si>
    <t>AMORTIZACION DE LA INVERSION Y VALOR AGREGADO</t>
  </si>
  <si>
    <t>Análisis de situación real</t>
  </si>
  <si>
    <t>RESULTADO</t>
  </si>
  <si>
    <t xml:space="preserve">TASA DE DESCUENTO </t>
  </si>
  <si>
    <t>TASA DE DESCUENTO REAL</t>
  </si>
  <si>
    <t>CALCULO DE IRVA</t>
  </si>
  <si>
    <t>TASAS REALES</t>
  </si>
  <si>
    <t>FCLPR</t>
  </si>
  <si>
    <t>COSTO DEL DINERO REAL</t>
  </si>
  <si>
    <t>CALCULO DEL IRVA POR FORMULA</t>
  </si>
  <si>
    <t>T</t>
  </si>
  <si>
    <t>COMPARACION IRVA REAL VS AMORTIZACION DE LA INVERSION Y VALOR AGREGADO</t>
  </si>
  <si>
    <t>IRVA REAL</t>
  </si>
  <si>
    <t>COMPARACION DEL VPN ACUMULADO A T CON EL VPN ACUMULADO A T REAL</t>
  </si>
  <si>
    <t>VPN A T</t>
  </si>
  <si>
    <t>FACTOR DE VP</t>
  </si>
  <si>
    <t>VPN A T REAL</t>
  </si>
  <si>
    <t>flujo de caja REAL=CXC(T-1)+VTST-CXCT-(PASIV ICL IMPXPAG(T-1)-COMPRAST-GASTOST-PROV IMP+PASIVINCLIMPXPAG)+INVERSIONES (T-1)-INVER T+INTXCOB(T-1)+INT INGRESOS T-INTXCOBT-TASA IMPXGASTO FINANC(T-1)-INVERSION EN ACTIVOS FIJOS</t>
  </si>
  <si>
    <t>Tasa dcto</t>
  </si>
  <si>
    <t>Factor VP</t>
  </si>
  <si>
    <t>CALCULO DEL VPNA</t>
  </si>
  <si>
    <t>CALCULO DEL FCLP POR PYG</t>
  </si>
  <si>
    <t>CALCULO DEL EVA POR DIVERSAS FORMAS</t>
  </si>
  <si>
    <t>EJEMPLO RESUMIDO</t>
  </si>
  <si>
    <t>AMORTIZACION DE LA INVERSION EN EL PROYECTO</t>
  </si>
  <si>
    <t>INVERSION RECUPERADA Y VALOR AGREGADO (IRVA)</t>
  </si>
  <si>
    <t>MENU</t>
  </si>
  <si>
    <t>SERRANO</t>
  </si>
  <si>
    <t>Utilidad después de impuestos</t>
  </si>
  <si>
    <t>Más depreciación</t>
  </si>
  <si>
    <t>Más diferencias entre causaciones y desembolsos de efectivo</t>
  </si>
  <si>
    <t>Menos amortizaciones</t>
  </si>
  <si>
    <t>Menos inversiones en activos fijos</t>
  </si>
  <si>
    <t>Menos inversiones adicionales en capital de trabajo</t>
  </si>
  <si>
    <t>Más ingresos por financiamiento adicional</t>
  </si>
  <si>
    <t>Menos intereses del financiamiento adicional</t>
  </si>
  <si>
    <t>Menos amortización del financiamiento adicional</t>
  </si>
  <si>
    <t>Autor: Ignacio Vélez Pareja</t>
  </si>
  <si>
    <t>FLUJO DE CAJA SIN VALOR TERMINAL</t>
  </si>
  <si>
    <t xml:space="preserve">VALOR TERMINAL O DE MERCADO </t>
  </si>
  <si>
    <t>28 EQUITY NOT IN $ BUT IN TANGIBLE GOODS</t>
  </si>
  <si>
    <t>35 VALOR TERMINAL O DE MERCADO VER CALCULO ABAJO</t>
  </si>
  <si>
    <t>ANALISIS DEL MERCADO (EJEMPLO)</t>
  </si>
  <si>
    <t>MAXIMO MERCADO POSIBLE</t>
  </si>
  <si>
    <t>PRECIO MINIMO POSIBLE</t>
  </si>
  <si>
    <t>MINIMO MERCADO POSIBLE</t>
  </si>
  <si>
    <t>MAXIMO PRECIO POSIBLE</t>
  </si>
  <si>
    <t>ajustes activos no monetarios</t>
  </si>
  <si>
    <t>ajustes capital</t>
  </si>
  <si>
    <t>ajustes util retenidas</t>
  </si>
  <si>
    <t>correción monetaria neta</t>
  </si>
  <si>
    <t>DEPRECIACION ANUAL AJUSTADA POR INFLACION</t>
  </si>
  <si>
    <t>DEPRECIACION ACUMULADA AJUSTADA POR INFLACION</t>
  </si>
  <si>
    <t>ACTIVOS FIJOS AJUSTADOS POR INFLACION</t>
  </si>
  <si>
    <t>AJUSTE A ACTIVOS FIJOS</t>
  </si>
  <si>
    <t>AJUSTE A DEPRECIACION</t>
  </si>
  <si>
    <t>AJUSTE A CAPITAL</t>
  </si>
  <si>
    <t>AJUSTE UTILIDADES RETENIDAS</t>
  </si>
  <si>
    <t>AJUSTE INFLACION SI=1 NO=0</t>
  </si>
  <si>
    <t>CORRECCION MONETARIA NETA</t>
  </si>
  <si>
    <t>inflacion</t>
  </si>
  <si>
    <t>DIFERENCIA</t>
  </si>
  <si>
    <t>AJUSTE A ACTIVOS FIJOS NETOS</t>
  </si>
  <si>
    <t xml:space="preserve">ACTIVOS FIJOS </t>
  </si>
  <si>
    <t>AJUSTE A ACTIVOS BRUTOS</t>
  </si>
  <si>
    <t>AJUSTE A DEPRECIACION ACUMULADA</t>
  </si>
  <si>
    <t>AJUSTE A ACTIVOS NETOS DEL AÑO</t>
  </si>
  <si>
    <t>AJUSTE POR DEPRECIACION ANUAL</t>
  </si>
  <si>
    <t>Ajustes por inflación SI=1 NO=0</t>
  </si>
  <si>
    <t>Impuestos pagados el mismo año SI=1 NO=0</t>
  </si>
  <si>
    <t>IMPUESTOS EXTRAS POR AJUSTE POR INFLACION</t>
  </si>
  <si>
    <t>ESTADOS FINANCIEROS AJUSTADOS POR INFLACION</t>
  </si>
  <si>
    <t>Ejemplo resumido</t>
  </si>
  <si>
    <t>FLUJO DE CAJA PROYECTO</t>
  </si>
  <si>
    <t>amortizac proyecto</t>
  </si>
  <si>
    <t>ACTIVO NETO</t>
  </si>
  <si>
    <t>ACTIVO NETO AJUSTADO</t>
  </si>
  <si>
    <t>AJUSTE DE ACT NETO</t>
  </si>
  <si>
    <t>AJUSTE DE ACTIVOS NO MONETARIOS =AJUSTE DE ACT NETO +AJUSTE DEP</t>
  </si>
  <si>
    <t>ajuste depreciac acumulada año anterior</t>
  </si>
  <si>
    <t>AJUSTE A DEPRECIACION ACUMULADA  AÑO ANTERIOR</t>
  </si>
  <si>
    <t>Utilidad antes de impuestos e intereses</t>
  </si>
  <si>
    <t>Más depreciación y amortizaciones</t>
  </si>
  <si>
    <t>Menos aumento en el capital de trabajo</t>
  </si>
  <si>
    <t>Menos inversiones de capital</t>
  </si>
  <si>
    <t>menos Impuestos sobre lo anterior</t>
  </si>
  <si>
    <t>vt</t>
  </si>
  <si>
    <t>23 LA AMORTIZACION DE LOS PRESTAMOS SE DEBE REALIZAR TAN PRONTO HAYA DISPONIBILIDAD. LAS PERDIDAS DE UN AÑO SE PUEDEN LLEVAR AL AÑO SIGUIENTE.</t>
  </si>
  <si>
    <t>Reinversion de excedentes Sí=1, No = 0</t>
  </si>
  <si>
    <t>Tasa de descuento corriente (si=1,no=0)</t>
  </si>
  <si>
    <t>FLUJO DE CAJA DE DIVIDENDOS DEL INVERSIONISTA</t>
  </si>
  <si>
    <t>FLUJO DE CAJA DE LA FINANCIACION PARA COSTO DESPUES DE IMPUESTOS</t>
  </si>
  <si>
    <t>COSTO DE DINERO DEL ACCIONISTA</t>
  </si>
  <si>
    <t>UE=UNETA-CoportACC*PAT</t>
  </si>
  <si>
    <t>UE=UNETA-CoportACCXPAT(t-1)</t>
  </si>
  <si>
    <t>UE=FCLP-INT-CoportACC*PAT(t-1)+AHORROS IMP-DEP</t>
  </si>
  <si>
    <t>UE=FCLP-INT-CoportACC*PAT(t-1)+AHORROS IMP-INVER/N</t>
  </si>
  <si>
    <t>UE=FCLP-INT-CoportACC*PAT(t-1)+AHORROS IMP-INVER/N+INVERS EXCED-RECPEXCED</t>
  </si>
  <si>
    <t>EVA o UE año 5 Tendencia</t>
  </si>
  <si>
    <t>Vr Terminal EVA o UE</t>
  </si>
  <si>
    <t>WACC o Ke año 5&gt;</t>
  </si>
  <si>
    <t>Proyeccion EVA y UE</t>
  </si>
  <si>
    <t>Tasa del accionista sin financiación</t>
  </si>
  <si>
    <t>factor de valor presente</t>
  </si>
  <si>
    <t>desde utilidad neta</t>
  </si>
  <si>
    <t>ivelez@poligran.edu.co</t>
  </si>
  <si>
    <t>Si desea introducir una nueva hoja y asignarle un nombre, deberá entrar al menú Herramientas y en Opciones activar Ver etiquetas</t>
  </si>
  <si>
    <t>EVA</t>
  </si>
  <si>
    <t xml:space="preserve">29 EL INVENTARIO FINAL ES LAS VENTAS DEL AÑO DIVIDIDAS POR </t>
  </si>
  <si>
    <t>CALCULO DEL FCL real</t>
  </si>
  <si>
    <t>FCL</t>
  </si>
  <si>
    <t>dif con ivp desde FT</t>
  </si>
  <si>
    <t>FCA ivp</t>
  </si>
  <si>
    <t>la suma cuadra con ivp desde FT</t>
  </si>
  <si>
    <t>FCL desde uaii ebit</t>
  </si>
  <si>
    <t>FCA con terminal value</t>
  </si>
  <si>
    <t>WESTON &amp; COPELAND</t>
  </si>
  <si>
    <t>MYERS, BREALEY y MARCUS</t>
  </si>
  <si>
    <t>fcl</t>
  </si>
  <si>
    <t>FLUJO DE CAJA CON FT OPERATIVO</t>
  </si>
  <si>
    <t>FLUJO DE CAJA LIBRE DEL PROYECTO A PARTIR DE LAS PARTIDAS QUE NO SON DE LA FINANCIACION EN EL FT</t>
  </si>
  <si>
    <t>LAS PARTIDAS PERTINENTES PARA EL FCL ESTAN EN COLOR</t>
  </si>
  <si>
    <t>FLUJO OPERATIVO</t>
  </si>
  <si>
    <t>AHORROS EN IMPUESTOS</t>
  </si>
  <si>
    <t>FLUJO DE CAJA CALCULADO EN LA HOJA FLUJO DE CAJA DEL PROYECTO</t>
  </si>
  <si>
    <t>Sugerencia de Jaime Ibarra, del posgrado de Economía de la Universidad Javeriana.</t>
  </si>
  <si>
    <t>FLUJO DE CAJA DEL PROYECTO (FCL)</t>
  </si>
  <si>
    <t>FLUJOS DE CAJA A PARTIR DEL PyG (Cash flows from P&amp;L)</t>
  </si>
  <si>
    <t>AHORRO EN IMPUESTOS POR INTERESES DEL AÑO ANTERIOR</t>
  </si>
  <si>
    <t>ANALISIS DE SENSIBILIDAD DE LAS VARIABLES UNA A LA VEZ</t>
  </si>
  <si>
    <t>ANALISIS DE SENSIBILIDAD (UNA VARIABLE)</t>
  </si>
  <si>
    <t>ANALISIS DE SENSIBILIDAD (DOS VARIABLES)</t>
  </si>
  <si>
    <t>Precio de venta en estudio de mercado</t>
  </si>
  <si>
    <t>SENSIBILIDAD DEL VPN CON DOS VARIABLES</t>
  </si>
  <si>
    <t>Política de cartera (recaudos)</t>
  </si>
  <si>
    <t>CFD</t>
  </si>
  <si>
    <t>www.poligran.edu.co/decisiones</t>
  </si>
  <si>
    <t>MENU DE MANEJO DE ESTE ARCHIVO</t>
  </si>
  <si>
    <t>Atención: En este archivo hay un proceso circular (por diseño) que puede crear problemas al usar la opción Buscar objetivo y Escenarios. Así mismo, si aparece error de circularidad, seleccione Opciones en Herramientas y allí escoja Calcular. Active la opción Iteraciones.</t>
  </si>
  <si>
    <t>(ESTA EN CALCULO MANUAL)</t>
  </si>
  <si>
    <t>MENOS "INVERSION" EN SALDO MINIMO</t>
  </si>
  <si>
    <t>MAS "RECUPERACION" DE SALDO MINMO ANTERIOR</t>
  </si>
  <si>
    <t>FCLn</t>
  </si>
  <si>
    <t>Menos recuperación de inversions a corto plazo</t>
  </si>
  <si>
    <t>Menos interés en inversions de corto plazo</t>
  </si>
  <si>
    <t>Más “inversión” en SMC</t>
  </si>
  <si>
    <t>Menos “recuperación de saldo de caja</t>
  </si>
  <si>
    <t xml:space="preserve">Más inversiones realizadas en el año n </t>
  </si>
  <si>
    <t>FCLn ajustado</t>
  </si>
  <si>
    <t xml:space="preserve">Más inversiones a corto plazo de excedentes  </t>
  </si>
  <si>
    <t>(MÁS)</t>
  </si>
  <si>
    <t>FCLn+1</t>
  </si>
  <si>
    <t>Tasa de descuento</t>
  </si>
  <si>
    <t>Impuestos</t>
  </si>
  <si>
    <t>reparto de utilidades</t>
  </si>
  <si>
    <t>abs</t>
  </si>
  <si>
    <t>Caja y bancos</t>
  </si>
  <si>
    <t>activos corrientes</t>
  </si>
  <si>
    <t>pasivos corrientes</t>
  </si>
  <si>
    <t>FCA desde ebit</t>
  </si>
  <si>
    <t>AUM CAP TRAB</t>
  </si>
  <si>
    <t>PAGO PREST</t>
  </si>
  <si>
    <t>INTERESES</t>
  </si>
  <si>
    <t>t*INTERESES</t>
  </si>
  <si>
    <t>DIFF CON IVP DE FT</t>
  </si>
  <si>
    <t>capital de trabajo=activos corrientes - pasivos corrientes</t>
  </si>
  <si>
    <t>CAMBIO EN CAP TRAB</t>
  </si>
  <si>
    <t>PAGO DE PRESTAMOS</t>
  </si>
  <si>
    <t>INGRESO DE PRESTAMOS</t>
  </si>
  <si>
    <t>VALOR TERMINAL</t>
  </si>
  <si>
    <t>Damodaran a partir de UAII</t>
  </si>
  <si>
    <t>Damodaran a partir de utilidad neta</t>
  </si>
  <si>
    <t>Weston y Copeland/Copeland y otros</t>
  </si>
  <si>
    <t>Brealey, Myers y Marcus</t>
  </si>
  <si>
    <t>Serrano</t>
  </si>
  <si>
    <t>Blank y Tarquin</t>
  </si>
  <si>
    <t>FCL desde utilidad neta</t>
  </si>
  <si>
    <t>FCA desde utilidad neta</t>
  </si>
  <si>
    <t xml:space="preserve">FCA </t>
  </si>
  <si>
    <t>FCL IVP</t>
  </si>
  <si>
    <t>Reorganizacion del PyG</t>
  </si>
  <si>
    <t>FCL a partir de utilidad neta con VT</t>
  </si>
  <si>
    <t>CAPITAL DE TRABAJO</t>
  </si>
  <si>
    <t xml:space="preserve">FCL  </t>
  </si>
  <si>
    <t>ACT CORRIENTE</t>
  </si>
  <si>
    <t>Captial de trabajo para UAII</t>
  </si>
  <si>
    <t>cambio en  nuevo cap trab</t>
  </si>
  <si>
    <t xml:space="preserve">CAMBIO en nuevo cap trab </t>
  </si>
  <si>
    <t>Inversion</t>
  </si>
  <si>
    <t>Menos inversion en activos</t>
  </si>
  <si>
    <t>Inversion en activos</t>
  </si>
  <si>
    <t>Inversion en activos fijos</t>
  </si>
  <si>
    <t>Velez</t>
  </si>
  <si>
    <t>Pagos de prestamos</t>
  </si>
  <si>
    <t>Pagos de intereses</t>
  </si>
  <si>
    <t>Ahorro en impuestos</t>
  </si>
  <si>
    <t>FCF</t>
  </si>
  <si>
    <t>Prestamos</t>
  </si>
  <si>
    <t>FCL real</t>
  </si>
  <si>
    <t>EVA= UAII(1-T)-WACCXACT</t>
  </si>
  <si>
    <t>EVA=UAII(1-T)-WACCXACT(t-1)</t>
  </si>
  <si>
    <t>CCF = FCA + FCD</t>
  </si>
  <si>
    <t>FCD</t>
  </si>
  <si>
    <t>AI</t>
  </si>
  <si>
    <t>CCF</t>
  </si>
  <si>
    <t>check</t>
  </si>
  <si>
    <t>Mas ahorro imp</t>
  </si>
  <si>
    <t>CCF desde  EBIT</t>
  </si>
  <si>
    <t xml:space="preserve">plus depreciation charges </t>
  </si>
  <si>
    <t xml:space="preserve">Plus interest expenses </t>
  </si>
  <si>
    <t xml:space="preserve">minus change in working capital </t>
  </si>
  <si>
    <t>Minus capital investment in the project (in cash or in kind)</t>
  </si>
  <si>
    <t>CCF from Net profit</t>
  </si>
  <si>
    <t>Rendimiento de invesrions</t>
  </si>
  <si>
    <t>Impuesto sobre rend de invers</t>
  </si>
  <si>
    <t xml:space="preserve">Para el período n añada el valor presente de las uaii después de impuestos. Este es el valor terminal. </t>
  </si>
  <si>
    <t>Impuestos sobre UAII por pagar</t>
  </si>
  <si>
    <t>Impuestos sobre Intereses por pagar</t>
  </si>
  <si>
    <t>INGRESO PRESTamo</t>
  </si>
  <si>
    <t>REDEFINICION DE CAPITAL DE TRABAJO PARA USO DE UAII en FCL</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</si>
</sst>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General_)"/>
    <numFmt numFmtId="181" formatCode="0.0%"/>
    <numFmt numFmtId="182" formatCode="_(* #,##0_);_(* \(#,##0\);_(* &quot;-&quot;??_);_(@_)"/>
    <numFmt numFmtId="183" formatCode="_(&quot;$&quot;* #,##0.00_);_(&quot;$&quot;* \(#,##0.00\);_(&quot;$&quot;* &quot;-&quot;_);_(@_)"/>
    <numFmt numFmtId="184" formatCode="#,##0.0000_);\(#,##0.0000\)"/>
    <numFmt numFmtId="185" formatCode="_(* #,##0.0_);_(* \(#,##0.0\);_(* &quot;-&quot;_);_(@_)"/>
    <numFmt numFmtId="186" formatCode="_(* #,##0.00_);_(* \(#,##0.00\);_(* &quot;-&quot;_);_(@_)"/>
    <numFmt numFmtId="187" formatCode="0.00000%"/>
    <numFmt numFmtId="188" formatCode="00000"/>
    <numFmt numFmtId="189" formatCode="0.0000"/>
    <numFmt numFmtId="190" formatCode="_(* #,##0.0_);_(* \(#,##0.0\);_(* &quot;-&quot;??_);_(@_)"/>
    <numFmt numFmtId="191" formatCode="_(* #,##0.0000_);_(* \(#,##0.0000\);_(* &quot;-&quot;??_);_(@_)"/>
    <numFmt numFmtId="192" formatCode="_-* #,##0.0_-;\-* #,##0.0_-;_-* &quot;-&quot;?_-;_-@_-"/>
    <numFmt numFmtId="193" formatCode="#,##0.0;\-#,##0.0"/>
    <numFmt numFmtId="194" formatCode="#,##0.0"/>
    <numFmt numFmtId="195" formatCode="#,##0.0_);\(#,##0.0\)"/>
    <numFmt numFmtId="196" formatCode="0.000"/>
    <numFmt numFmtId="197" formatCode="_-* #,##0.0000\ _P_t_a_-;\-* #,##0.0000\ _P_t_a_-;_-* &quot;-&quot;????\ _P_t_a_-;_-@_-"/>
    <numFmt numFmtId="198" formatCode="0.0000%"/>
    <numFmt numFmtId="199" formatCode="_(* #,##0.0000_);_(* \(#,##0.0000\);_(* &quot;-&quot;_);_(@_)"/>
    <numFmt numFmtId="200" formatCode="_(* #,##0.000_);_(* \(#,##0.000\);_(* &quot;-&quot;_);_(@_)"/>
    <numFmt numFmtId="201" formatCode="_(* #,##0.000_);_(* \(#,##0.000\);_(* &quot;-&quot;??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
  </numFmts>
  <fonts count="78">
    <font>
      <sz val="10"/>
      <name val="Arial"/>
      <family val="0"/>
    </font>
    <font>
      <sz val="10"/>
      <name val="Courier"/>
      <family val="3"/>
    </font>
    <font>
      <sz val="10"/>
      <name val="Times New Roman"/>
      <family val="1"/>
    </font>
    <font>
      <b/>
      <sz val="10"/>
      <name val="Times New Roman"/>
      <family val="1"/>
    </font>
    <font>
      <b/>
      <i/>
      <sz val="10"/>
      <name val="Times New Roman"/>
      <family val="1"/>
    </font>
    <font>
      <b/>
      <sz val="10"/>
      <color indexed="48"/>
      <name val="Times New Roman"/>
      <family val="1"/>
    </font>
    <font>
      <sz val="10"/>
      <color indexed="12"/>
      <name val="Times New Roman"/>
      <family val="1"/>
    </font>
    <font>
      <sz val="10"/>
      <color indexed="9"/>
      <name val="Courier"/>
      <family val="3"/>
    </font>
    <font>
      <b/>
      <sz val="10"/>
      <color indexed="8"/>
      <name val="Times New Roman"/>
      <family val="1"/>
    </font>
    <font>
      <sz val="10"/>
      <color indexed="8"/>
      <name val="Times New Roman"/>
      <family val="1"/>
    </font>
    <font>
      <sz val="8"/>
      <name val="Times New Roman"/>
      <family val="1"/>
    </font>
    <font>
      <b/>
      <sz val="8"/>
      <name val="Times New Roman"/>
      <family val="1"/>
    </font>
    <font>
      <sz val="10"/>
      <color indexed="9"/>
      <name val="Times New Roman"/>
      <family val="1"/>
    </font>
    <font>
      <b/>
      <sz val="10"/>
      <color indexed="48"/>
      <name val="Courier"/>
      <family val="3"/>
    </font>
    <font>
      <b/>
      <u val="single"/>
      <sz val="10"/>
      <name val="Times New Roman"/>
      <family val="1"/>
    </font>
    <font>
      <sz val="10"/>
      <color indexed="10"/>
      <name val="Times New Roman"/>
      <family val="1"/>
    </font>
    <font>
      <b/>
      <i/>
      <u val="single"/>
      <sz val="10"/>
      <name val="Times New Roman"/>
      <family val="1"/>
    </font>
    <font>
      <b/>
      <sz val="10"/>
      <color indexed="10"/>
      <name val="Times New Roman"/>
      <family val="1"/>
    </font>
    <font>
      <b/>
      <sz val="10"/>
      <name val="Arial"/>
      <family val="2"/>
    </font>
    <font>
      <b/>
      <sz val="10"/>
      <name val="Courier"/>
      <family val="3"/>
    </font>
    <font>
      <sz val="10"/>
      <name val="Arial Narrow"/>
      <family val="2"/>
    </font>
    <font>
      <sz val="8"/>
      <name val="Tahoma"/>
      <family val="2"/>
    </font>
    <font>
      <b/>
      <sz val="10"/>
      <color indexed="9"/>
      <name val="Courier"/>
      <family val="3"/>
    </font>
    <font>
      <u val="single"/>
      <sz val="10"/>
      <color indexed="12"/>
      <name val="Arial"/>
      <family val="2"/>
    </font>
    <font>
      <u val="single"/>
      <sz val="10"/>
      <color indexed="36"/>
      <name val="Arial"/>
      <family val="2"/>
    </font>
    <font>
      <b/>
      <sz val="10"/>
      <name val="Comic Sans MS"/>
      <family val="4"/>
    </font>
    <font>
      <b/>
      <u val="single"/>
      <sz val="10"/>
      <color indexed="12"/>
      <name val="Comic Sans MS"/>
      <family val="4"/>
    </font>
    <font>
      <sz val="10"/>
      <name val="Comic Sans MS"/>
      <family val="4"/>
    </font>
    <font>
      <b/>
      <sz val="8"/>
      <name val="Tahoma"/>
      <family val="2"/>
    </font>
    <font>
      <b/>
      <sz val="10"/>
      <color indexed="10"/>
      <name val="Arial"/>
      <family val="2"/>
    </font>
    <font>
      <b/>
      <sz val="10"/>
      <color indexed="10"/>
      <name val="Courier"/>
      <family val="3"/>
    </font>
    <font>
      <sz val="11"/>
      <color indexed="10"/>
      <name val="Bookman Old Style"/>
      <family val="1"/>
    </font>
    <font>
      <sz val="10"/>
      <color indexed="10"/>
      <name val="Comic Sans MS"/>
      <family val="4"/>
    </font>
    <font>
      <b/>
      <u val="single"/>
      <sz val="10"/>
      <color indexed="48"/>
      <name val="Arial"/>
      <family val="2"/>
    </font>
    <font>
      <sz val="10"/>
      <color indexed="10"/>
      <name val="Courier"/>
      <family val="3"/>
    </font>
    <font>
      <sz val="10"/>
      <name val="Bookman Old Style"/>
      <family val="1"/>
    </font>
    <font>
      <b/>
      <i/>
      <sz val="10"/>
      <name val="Courier"/>
      <family val="3"/>
    </font>
    <font>
      <sz val="8"/>
      <name val="Arial"/>
      <family val="2"/>
    </font>
    <font>
      <b/>
      <u val="single"/>
      <sz val="10"/>
      <color indexed="12"/>
      <name val="Arial"/>
      <family val="2"/>
    </font>
    <font>
      <sz val="11"/>
      <name val="Times New Roman"/>
      <family val="1"/>
    </font>
    <font>
      <sz val="10"/>
      <color indexed="48"/>
      <name val="Times New Roman"/>
      <family val="1"/>
    </font>
    <font>
      <sz val="10"/>
      <color indexed="10"/>
      <name val="Bookman Old Style"/>
      <family val="1"/>
    </font>
    <font>
      <sz val="11"/>
      <name val="Bookman Old Styl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180" fontId="1" fillId="0" borderId="0">
      <alignment/>
      <protection/>
    </xf>
    <xf numFmtId="0" fontId="0" fillId="0" borderId="0">
      <alignment/>
      <protection/>
    </xf>
    <xf numFmtId="180" fontId="1" fillId="0" borderId="0">
      <alignment/>
      <protection/>
    </xf>
    <xf numFmtId="18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200">
    <xf numFmtId="0" fontId="0" fillId="0" borderId="0" xfId="0" applyAlignment="1">
      <alignment/>
    </xf>
    <xf numFmtId="180" fontId="1" fillId="0" borderId="0" xfId="56" applyFont="1" applyBorder="1">
      <alignment/>
      <protection/>
    </xf>
    <xf numFmtId="39" fontId="2" fillId="0" borderId="0" xfId="56" applyNumberFormat="1" applyFont="1" applyFill="1" applyBorder="1" applyProtection="1">
      <alignment/>
      <protection/>
    </xf>
    <xf numFmtId="39" fontId="15" fillId="33" borderId="0" xfId="56" applyNumberFormat="1" applyFont="1" applyFill="1" applyBorder="1" applyProtection="1">
      <alignment/>
      <protection/>
    </xf>
    <xf numFmtId="180" fontId="2" fillId="0" borderId="0" xfId="56" applyFont="1" applyFill="1" applyBorder="1">
      <alignment/>
      <protection/>
    </xf>
    <xf numFmtId="39" fontId="2" fillId="0" borderId="0" xfId="0" applyNumberFormat="1" applyFont="1" applyFill="1" applyAlignment="1" applyProtection="1">
      <alignment/>
      <protection/>
    </xf>
    <xf numFmtId="180" fontId="2" fillId="0" borderId="0" xfId="59" applyNumberFormat="1" applyFont="1" applyAlignment="1" applyProtection="1">
      <alignment horizontal="left"/>
      <protection/>
    </xf>
    <xf numFmtId="180" fontId="2" fillId="0" borderId="0" xfId="59" applyFont="1">
      <alignment/>
      <protection/>
    </xf>
    <xf numFmtId="180" fontId="1" fillId="0" borderId="0" xfId="59" applyFont="1">
      <alignment/>
      <protection/>
    </xf>
    <xf numFmtId="180" fontId="1" fillId="0" borderId="0" xfId="59">
      <alignment/>
      <protection/>
    </xf>
    <xf numFmtId="180" fontId="2" fillId="34" borderId="0" xfId="59" applyNumberFormat="1" applyFont="1" applyFill="1" applyAlignment="1" applyProtection="1">
      <alignment horizontal="left"/>
      <protection/>
    </xf>
    <xf numFmtId="180" fontId="2" fillId="34" borderId="0" xfId="59" applyFont="1" applyFill="1">
      <alignment/>
      <protection/>
    </xf>
    <xf numFmtId="180" fontId="4" fillId="0" borderId="0" xfId="59" applyNumberFormat="1" applyFont="1" applyAlignment="1" applyProtection="1">
      <alignment horizontal="center"/>
      <protection/>
    </xf>
    <xf numFmtId="180" fontId="2" fillId="0" borderId="0" xfId="59" applyNumberFormat="1" applyFont="1" applyAlignment="1" applyProtection="1">
      <alignment horizontal="left" wrapText="1"/>
      <protection/>
    </xf>
    <xf numFmtId="41" fontId="5" fillId="35" borderId="0" xfId="49" applyFont="1" applyFill="1" applyAlignment="1" applyProtection="1">
      <alignment/>
      <protection locked="0"/>
    </xf>
    <xf numFmtId="7" fontId="2" fillId="0" borderId="0" xfId="59" applyNumberFormat="1" applyFont="1" applyProtection="1">
      <alignment/>
      <protection/>
    </xf>
    <xf numFmtId="180" fontId="4" fillId="0" borderId="0" xfId="59" applyNumberFormat="1" applyFont="1" applyAlignment="1" applyProtection="1">
      <alignment horizontal="left" wrapText="1"/>
      <protection/>
    </xf>
    <xf numFmtId="180" fontId="6" fillId="0" borderId="0" xfId="59" applyNumberFormat="1" applyFont="1" applyAlignment="1" applyProtection="1">
      <alignment horizontal="left"/>
      <protection locked="0"/>
    </xf>
    <xf numFmtId="180" fontId="4" fillId="0" borderId="0" xfId="58" applyNumberFormat="1" applyFont="1" applyAlignment="1" applyProtection="1">
      <alignment horizontal="left" wrapText="1"/>
      <protection/>
    </xf>
    <xf numFmtId="180" fontId="19" fillId="0" borderId="0" xfId="59" applyFont="1" applyAlignment="1">
      <alignment horizontal="justify" vertical="top" wrapText="1"/>
      <protection/>
    </xf>
    <xf numFmtId="180" fontId="3" fillId="0" borderId="0" xfId="59" applyNumberFormat="1" applyFont="1" applyAlignment="1" applyProtection="1">
      <alignment horizontal="left" wrapText="1"/>
      <protection/>
    </xf>
    <xf numFmtId="181" fontId="5" fillId="35" borderId="0" xfId="61" applyNumberFormat="1" applyFont="1" applyFill="1" applyAlignment="1" applyProtection="1">
      <alignment/>
      <protection locked="0"/>
    </xf>
    <xf numFmtId="180" fontId="7" fillId="0" borderId="0" xfId="59" applyFont="1" applyProtection="1">
      <alignment/>
      <protection/>
    </xf>
    <xf numFmtId="10" fontId="5" fillId="35" borderId="0" xfId="59" applyNumberFormat="1" applyFont="1" applyFill="1" applyProtection="1">
      <alignment/>
      <protection locked="0"/>
    </xf>
    <xf numFmtId="10" fontId="2" fillId="0" borderId="0" xfId="61" applyNumberFormat="1" applyFont="1" applyAlignment="1">
      <alignment/>
    </xf>
    <xf numFmtId="10" fontId="6" fillId="0" borderId="0" xfId="59" applyNumberFormat="1" applyFont="1" applyProtection="1">
      <alignment/>
      <protection locked="0"/>
    </xf>
    <xf numFmtId="10" fontId="2" fillId="0" borderId="0" xfId="59" applyNumberFormat="1" applyFont="1" applyProtection="1">
      <alignment/>
      <protection/>
    </xf>
    <xf numFmtId="10" fontId="5" fillId="0" borderId="0" xfId="59" applyNumberFormat="1" applyFont="1" applyFill="1" applyProtection="1">
      <alignment/>
      <protection/>
    </xf>
    <xf numFmtId="186" fontId="9" fillId="0" borderId="0" xfId="49" applyNumberFormat="1" applyFont="1" applyAlignment="1" applyProtection="1">
      <alignment/>
      <protection/>
    </xf>
    <xf numFmtId="10" fontId="9" fillId="0" borderId="0" xfId="59" applyNumberFormat="1" applyFont="1" applyProtection="1">
      <alignment/>
      <protection/>
    </xf>
    <xf numFmtId="180" fontId="10" fillId="0" borderId="0" xfId="59" applyNumberFormat="1" applyFont="1" applyAlignment="1" applyProtection="1">
      <alignment horizontal="left" wrapText="1"/>
      <protection/>
    </xf>
    <xf numFmtId="180" fontId="11" fillId="0" borderId="0" xfId="59" applyNumberFormat="1" applyFont="1" applyAlignment="1" applyProtection="1">
      <alignment horizontal="left" wrapText="1"/>
      <protection/>
    </xf>
    <xf numFmtId="180" fontId="2" fillId="0" borderId="0" xfId="59" applyFont="1" applyFill="1" applyAlignment="1">
      <alignment vertical="justify" wrapText="1"/>
      <protection/>
    </xf>
    <xf numFmtId="39" fontId="2" fillId="0" borderId="0" xfId="59" applyNumberFormat="1" applyFont="1" applyFill="1" applyProtection="1">
      <alignment/>
      <protection/>
    </xf>
    <xf numFmtId="39" fontId="3" fillId="0" borderId="0" xfId="59" applyNumberFormat="1" applyFont="1" applyFill="1" applyProtection="1">
      <alignment/>
      <protection/>
    </xf>
    <xf numFmtId="183" fontId="3" fillId="0" borderId="0" xfId="54" applyNumberFormat="1" applyFont="1" applyFill="1" applyAlignment="1" applyProtection="1">
      <alignment/>
      <protection/>
    </xf>
    <xf numFmtId="187" fontId="12" fillId="0" borderId="0" xfId="61" applyNumberFormat="1" applyFont="1" applyAlignment="1" applyProtection="1">
      <alignment/>
      <protection locked="0"/>
    </xf>
    <xf numFmtId="10" fontId="13" fillId="35" borderId="0" xfId="59" applyNumberFormat="1" applyFont="1" applyFill="1" applyBorder="1" applyAlignment="1" applyProtection="1">
      <alignment/>
      <protection locked="0"/>
    </xf>
    <xf numFmtId="183" fontId="5" fillId="35" borderId="0" xfId="54" applyNumberFormat="1" applyFont="1" applyFill="1" applyAlignment="1" applyProtection="1">
      <alignment/>
      <protection locked="0"/>
    </xf>
    <xf numFmtId="7" fontId="6" fillId="0" borderId="0" xfId="59" applyNumberFormat="1" applyFont="1" applyProtection="1">
      <alignment/>
      <protection locked="0"/>
    </xf>
    <xf numFmtId="189" fontId="2" fillId="0" borderId="0" xfId="59" applyNumberFormat="1" applyFont="1">
      <alignment/>
      <protection/>
    </xf>
    <xf numFmtId="180" fontId="3" fillId="0" borderId="0" xfId="59" applyNumberFormat="1" applyFont="1" applyAlignment="1" applyProtection="1">
      <alignment horizontal="left"/>
      <protection/>
    </xf>
    <xf numFmtId="39" fontId="6" fillId="0" borderId="0" xfId="59" applyNumberFormat="1" applyFont="1" applyProtection="1">
      <alignment/>
      <protection locked="0"/>
    </xf>
    <xf numFmtId="180" fontId="6" fillId="0" borderId="0" xfId="59" applyNumberFormat="1" applyFont="1" applyProtection="1">
      <alignment/>
      <protection locked="0"/>
    </xf>
    <xf numFmtId="39" fontId="5" fillId="35" borderId="0" xfId="59" applyNumberFormat="1" applyFont="1" applyFill="1" applyProtection="1">
      <alignment/>
      <protection locked="0"/>
    </xf>
    <xf numFmtId="10" fontId="5" fillId="35" borderId="0" xfId="61" applyNumberFormat="1" applyFont="1" applyFill="1" applyAlignment="1" applyProtection="1">
      <alignment/>
      <protection locked="0"/>
    </xf>
    <xf numFmtId="182" fontId="5" fillId="35" borderId="0" xfId="48" applyNumberFormat="1" applyFont="1" applyFill="1" applyAlignment="1" applyProtection="1">
      <alignment/>
      <protection locked="0"/>
    </xf>
    <xf numFmtId="180" fontId="14" fillId="0" borderId="0" xfId="59" applyNumberFormat="1" applyFont="1" applyAlignment="1" applyProtection="1">
      <alignment horizontal="left"/>
      <protection/>
    </xf>
    <xf numFmtId="37" fontId="2" fillId="0" borderId="0" xfId="59" applyNumberFormat="1" applyFont="1" applyProtection="1">
      <alignment/>
      <protection/>
    </xf>
    <xf numFmtId="180" fontId="2" fillId="0" borderId="0" xfId="59" applyNumberFormat="1" applyFont="1" applyAlignment="1" applyProtection="1">
      <alignment horizontal="left" vertical="justify" wrapText="1"/>
      <protection/>
    </xf>
    <xf numFmtId="39" fontId="15" fillId="33" borderId="0" xfId="59" applyNumberFormat="1" applyFont="1" applyFill="1" applyProtection="1">
      <alignment/>
      <protection/>
    </xf>
    <xf numFmtId="10" fontId="15" fillId="33" borderId="0" xfId="59" applyNumberFormat="1" applyFont="1" applyFill="1" applyProtection="1">
      <alignment/>
      <protection/>
    </xf>
    <xf numFmtId="180" fontId="2" fillId="0" borderId="0" xfId="59" applyNumberFormat="1" applyFont="1" applyFill="1" applyAlignment="1" applyProtection="1">
      <alignment horizontal="left"/>
      <protection/>
    </xf>
    <xf numFmtId="180" fontId="2" fillId="0" borderId="0" xfId="59" applyFont="1" applyFill="1">
      <alignment/>
      <protection/>
    </xf>
    <xf numFmtId="180" fontId="3" fillId="0" borderId="10" xfId="59" applyNumberFormat="1" applyFont="1" applyFill="1" applyBorder="1" applyAlignment="1" applyProtection="1">
      <alignment horizontal="left"/>
      <protection/>
    </xf>
    <xf numFmtId="180" fontId="16" fillId="0" borderId="11" xfId="59" applyNumberFormat="1" applyFont="1" applyFill="1" applyBorder="1" applyAlignment="1" applyProtection="1">
      <alignment horizontal="left"/>
      <protection/>
    </xf>
    <xf numFmtId="7" fontId="2" fillId="0" borderId="0" xfId="59" applyNumberFormat="1" applyFont="1" applyFill="1" applyProtection="1">
      <alignment/>
      <protection/>
    </xf>
    <xf numFmtId="39" fontId="2" fillId="0" borderId="0" xfId="59" applyNumberFormat="1" applyFont="1" applyFill="1" applyProtection="1">
      <alignment/>
      <protection locked="0"/>
    </xf>
    <xf numFmtId="180" fontId="16" fillId="0" borderId="0" xfId="59" applyNumberFormat="1" applyFont="1" applyFill="1" applyBorder="1" applyAlignment="1" applyProtection="1">
      <alignment horizontal="left"/>
      <protection/>
    </xf>
    <xf numFmtId="180" fontId="2" fillId="0" borderId="0" xfId="59" applyNumberFormat="1" applyFont="1" applyFill="1" applyProtection="1">
      <alignment/>
      <protection/>
    </xf>
    <xf numFmtId="39" fontId="2" fillId="0" borderId="0" xfId="59" applyNumberFormat="1" applyFont="1" applyFill="1" applyAlignment="1" applyProtection="1">
      <alignment horizontal="center"/>
      <protection/>
    </xf>
    <xf numFmtId="180" fontId="2" fillId="0" borderId="0" xfId="59" applyNumberFormat="1" applyFont="1" applyFill="1" applyAlignment="1" applyProtection="1">
      <alignment vertical="justify" wrapText="1"/>
      <protection/>
    </xf>
    <xf numFmtId="180" fontId="16" fillId="0" borderId="0" xfId="59" applyFont="1" applyFill="1" applyAlignment="1">
      <alignment vertical="justify" wrapText="1"/>
      <protection/>
    </xf>
    <xf numFmtId="184" fontId="3" fillId="0" borderId="0" xfId="59" applyNumberFormat="1" applyFont="1" applyFill="1" applyProtection="1">
      <alignment/>
      <protection/>
    </xf>
    <xf numFmtId="180" fontId="3" fillId="0" borderId="0" xfId="59" applyFont="1" applyFill="1" applyAlignment="1">
      <alignment vertical="justify" wrapText="1"/>
      <protection/>
    </xf>
    <xf numFmtId="39" fontId="17" fillId="0" borderId="0" xfId="59" applyNumberFormat="1" applyFont="1" applyFill="1" applyProtection="1">
      <alignment/>
      <protection/>
    </xf>
    <xf numFmtId="39" fontId="3" fillId="0" borderId="0" xfId="59" applyNumberFormat="1" applyFont="1" applyFill="1" applyProtection="1">
      <alignment/>
      <protection locked="0"/>
    </xf>
    <xf numFmtId="10" fontId="1" fillId="0" borderId="0" xfId="61" applyNumberFormat="1" applyFont="1" applyFill="1" applyAlignment="1">
      <alignment/>
    </xf>
    <xf numFmtId="180" fontId="1" fillId="0" borderId="0" xfId="59" applyFont="1" applyFill="1">
      <alignment/>
      <protection/>
    </xf>
    <xf numFmtId="180" fontId="2" fillId="0" borderId="0" xfId="59" applyFont="1" applyFill="1" applyAlignment="1">
      <alignment horizontal="left" vertical="justify" wrapText="1"/>
      <protection/>
    </xf>
    <xf numFmtId="180" fontId="2" fillId="0" borderId="0" xfId="59" applyFont="1" applyFill="1" applyAlignment="1">
      <alignment horizontal="center" vertical="justify" wrapText="1"/>
      <protection/>
    </xf>
    <xf numFmtId="180" fontId="18" fillId="0" borderId="0" xfId="59" applyFont="1" applyAlignment="1">
      <alignment horizontal="justify" wrapText="1"/>
      <protection/>
    </xf>
    <xf numFmtId="181" fontId="1" fillId="0" borderId="0" xfId="61" applyNumberFormat="1" applyFont="1" applyAlignment="1">
      <alignment/>
    </xf>
    <xf numFmtId="180" fontId="0" fillId="0" borderId="0" xfId="59" applyFont="1">
      <alignment/>
      <protection/>
    </xf>
    <xf numFmtId="43" fontId="0" fillId="0" borderId="0" xfId="48" applyFont="1" applyAlignment="1">
      <alignment/>
    </xf>
    <xf numFmtId="185" fontId="1" fillId="0" borderId="0" xfId="49" applyNumberFormat="1" applyFont="1" applyAlignment="1">
      <alignment/>
    </xf>
    <xf numFmtId="180" fontId="19" fillId="0" borderId="0" xfId="59" applyFont="1">
      <alignment/>
      <protection/>
    </xf>
    <xf numFmtId="10" fontId="1" fillId="0" borderId="0" xfId="61" applyNumberFormat="1" applyFont="1" applyAlignment="1">
      <alignment/>
    </xf>
    <xf numFmtId="10" fontId="3" fillId="0" borderId="0" xfId="61" applyNumberFormat="1" applyFont="1" applyFill="1" applyAlignment="1" applyProtection="1">
      <alignment/>
      <protection/>
    </xf>
    <xf numFmtId="180" fontId="19" fillId="0" borderId="0" xfId="56" applyFont="1" applyAlignment="1">
      <alignment horizontal="center"/>
      <protection/>
    </xf>
    <xf numFmtId="188" fontId="22" fillId="0" borderId="0" xfId="56" applyNumberFormat="1" applyFont="1" applyAlignment="1">
      <alignment horizontal="center"/>
      <protection/>
    </xf>
    <xf numFmtId="180" fontId="1" fillId="0" borderId="0" xfId="56">
      <alignment/>
      <protection/>
    </xf>
    <xf numFmtId="180" fontId="19" fillId="0" borderId="0" xfId="56" applyFont="1" applyAlignment="1">
      <alignment wrapText="1"/>
      <protection/>
    </xf>
    <xf numFmtId="10" fontId="19" fillId="0" borderId="0" xfId="61" applyNumberFormat="1" applyFont="1" applyAlignment="1">
      <alignment/>
    </xf>
    <xf numFmtId="188" fontId="7" fillId="0" borderId="0" xfId="61" applyNumberFormat="1" applyFont="1" applyAlignment="1">
      <alignment/>
    </xf>
    <xf numFmtId="180" fontId="2" fillId="0" borderId="0" xfId="56" applyFont="1" applyBorder="1">
      <alignment/>
      <protection/>
    </xf>
    <xf numFmtId="41" fontId="8" fillId="0" borderId="0" xfId="50" applyNumberFormat="1" applyFont="1" applyFill="1" applyBorder="1" applyAlignment="1" applyProtection="1">
      <alignment/>
      <protection/>
    </xf>
    <xf numFmtId="39" fontId="0" fillId="0" borderId="0" xfId="0" applyNumberFormat="1" applyAlignment="1">
      <alignment/>
    </xf>
    <xf numFmtId="10" fontId="19" fillId="0" borderId="0" xfId="61" applyNumberFormat="1" applyFont="1" applyAlignment="1">
      <alignment wrapText="1"/>
    </xf>
    <xf numFmtId="4" fontId="0" fillId="0" borderId="0" xfId="49" applyNumberFormat="1" applyFont="1" applyAlignment="1">
      <alignment/>
    </xf>
    <xf numFmtId="4" fontId="1" fillId="0" borderId="0" xfId="49" applyNumberFormat="1" applyFont="1" applyAlignment="1">
      <alignment/>
    </xf>
    <xf numFmtId="9" fontId="2" fillId="0" borderId="0" xfId="61" applyFont="1" applyFill="1" applyAlignment="1" applyProtection="1">
      <alignment/>
      <protection/>
    </xf>
    <xf numFmtId="180" fontId="1" fillId="0" borderId="0" xfId="59" applyFont="1" applyAlignment="1">
      <alignment vertical="center" wrapText="1"/>
      <protection/>
    </xf>
    <xf numFmtId="39" fontId="3" fillId="0" borderId="0" xfId="59" applyNumberFormat="1" applyFont="1" applyFill="1" applyAlignment="1" applyProtection="1">
      <alignment wrapText="1"/>
      <protection/>
    </xf>
    <xf numFmtId="190" fontId="0" fillId="0" borderId="0" xfId="48" applyNumberFormat="1" applyFont="1" applyAlignment="1">
      <alignment/>
    </xf>
    <xf numFmtId="191" fontId="0" fillId="0" borderId="0" xfId="48" applyNumberFormat="1" applyFont="1" applyAlignment="1">
      <alignment/>
    </xf>
    <xf numFmtId="0" fontId="0" fillId="0" borderId="0" xfId="0" applyAlignment="1">
      <alignment wrapText="1"/>
    </xf>
    <xf numFmtId="185" fontId="3" fillId="0" borderId="0" xfId="49" applyNumberFormat="1" applyFont="1" applyFill="1" applyAlignment="1">
      <alignment vertical="justify" wrapText="1"/>
    </xf>
    <xf numFmtId="193" fontId="2" fillId="0" borderId="0" xfId="59" applyNumberFormat="1" applyFont="1" applyFill="1" applyProtection="1">
      <alignment/>
      <protection/>
    </xf>
    <xf numFmtId="193" fontId="3" fillId="0" borderId="0" xfId="59" applyNumberFormat="1" applyFont="1" applyFill="1" applyProtection="1">
      <alignment/>
      <protection/>
    </xf>
    <xf numFmtId="193" fontId="17" fillId="0" borderId="0" xfId="59" applyNumberFormat="1" applyFont="1" applyFill="1" applyProtection="1">
      <alignment/>
      <protection/>
    </xf>
    <xf numFmtId="180" fontId="1" fillId="0" borderId="0" xfId="56" applyFont="1">
      <alignment/>
      <protection/>
    </xf>
    <xf numFmtId="195" fontId="2" fillId="0" borderId="0" xfId="59" applyNumberFormat="1" applyFont="1" applyFill="1" applyProtection="1">
      <alignment/>
      <protection/>
    </xf>
    <xf numFmtId="180" fontId="1" fillId="0" borderId="0" xfId="59" applyFont="1" applyAlignment="1">
      <alignment wrapText="1"/>
      <protection/>
    </xf>
    <xf numFmtId="180" fontId="1" fillId="0" borderId="0" xfId="59" applyFont="1" applyAlignment="1">
      <alignment vertical="top" wrapText="1"/>
      <protection/>
    </xf>
    <xf numFmtId="190" fontId="1" fillId="0" borderId="0" xfId="48" applyNumberFormat="1" applyFont="1" applyAlignment="1">
      <alignment/>
    </xf>
    <xf numFmtId="10" fontId="2" fillId="0" borderId="0" xfId="61" applyNumberFormat="1" applyFont="1" applyFill="1" applyAlignment="1" applyProtection="1">
      <alignment/>
      <protection/>
    </xf>
    <xf numFmtId="43" fontId="2" fillId="0" borderId="0" xfId="48" applyNumberFormat="1" applyFont="1" applyAlignment="1">
      <alignment/>
    </xf>
    <xf numFmtId="186" fontId="1" fillId="0" borderId="0" xfId="49" applyNumberFormat="1" applyFont="1" applyAlignment="1">
      <alignment/>
    </xf>
    <xf numFmtId="185" fontId="0" fillId="0" borderId="0" xfId="49" applyNumberFormat="1" applyFont="1" applyAlignment="1">
      <alignment/>
    </xf>
    <xf numFmtId="10" fontId="0" fillId="0" borderId="0" xfId="61" applyNumberFormat="1" applyFont="1" applyAlignment="1">
      <alignment/>
    </xf>
    <xf numFmtId="41" fontId="2" fillId="0" borderId="0" xfId="49" applyFont="1" applyFill="1" applyAlignment="1">
      <alignment/>
    </xf>
    <xf numFmtId="196" fontId="0" fillId="0" borderId="0" xfId="0" applyNumberFormat="1" applyAlignment="1">
      <alignment/>
    </xf>
    <xf numFmtId="192" fontId="0" fillId="0" borderId="0" xfId="0" applyNumberFormat="1" applyAlignment="1">
      <alignment/>
    </xf>
    <xf numFmtId="186" fontId="0" fillId="0" borderId="0" xfId="49" applyNumberFormat="1" applyFont="1" applyAlignment="1">
      <alignment/>
    </xf>
    <xf numFmtId="185" fontId="0" fillId="0" borderId="0" xfId="0" applyNumberFormat="1" applyAlignment="1">
      <alignment/>
    </xf>
    <xf numFmtId="185" fontId="0" fillId="0" borderId="0" xfId="49" applyNumberFormat="1" applyAlignment="1">
      <alignment/>
    </xf>
    <xf numFmtId="181" fontId="0" fillId="0" borderId="0" xfId="61" applyNumberFormat="1" applyAlignment="1">
      <alignment/>
    </xf>
    <xf numFmtId="186" fontId="0" fillId="0" borderId="0" xfId="49" applyNumberFormat="1" applyAlignment="1">
      <alignment/>
    </xf>
    <xf numFmtId="10" fontId="0" fillId="0" borderId="0" xfId="61" applyNumberFormat="1" applyAlignment="1">
      <alignment/>
    </xf>
    <xf numFmtId="42" fontId="0" fillId="0" borderId="0" xfId="54" applyFont="1" applyAlignment="1">
      <alignment/>
    </xf>
    <xf numFmtId="0" fontId="23" fillId="0" borderId="0" xfId="45" applyAlignment="1" applyProtection="1">
      <alignment/>
      <protection/>
    </xf>
    <xf numFmtId="180" fontId="19" fillId="0" borderId="0" xfId="59" applyFont="1">
      <alignment/>
      <protection/>
    </xf>
    <xf numFmtId="0" fontId="25" fillId="0" borderId="0" xfId="0" applyFont="1" applyAlignment="1">
      <alignment/>
    </xf>
    <xf numFmtId="0" fontId="26" fillId="0" borderId="0" xfId="45" applyFont="1" applyAlignment="1" applyProtection="1">
      <alignment/>
      <protection/>
    </xf>
    <xf numFmtId="0" fontId="27" fillId="0" borderId="0" xfId="0" applyFont="1" applyAlignment="1">
      <alignment/>
    </xf>
    <xf numFmtId="186" fontId="2" fillId="0" borderId="0" xfId="49" applyNumberFormat="1" applyFont="1" applyBorder="1" applyAlignment="1">
      <alignment/>
    </xf>
    <xf numFmtId="10" fontId="9" fillId="0" borderId="0" xfId="61" applyNumberFormat="1" applyFont="1" applyAlignment="1" applyProtection="1">
      <alignment/>
      <protection/>
    </xf>
    <xf numFmtId="181" fontId="2" fillId="0" borderId="0" xfId="61" applyNumberFormat="1" applyFont="1" applyBorder="1" applyAlignment="1">
      <alignment/>
    </xf>
    <xf numFmtId="181" fontId="9" fillId="0" borderId="0" xfId="59" applyNumberFormat="1" applyFont="1" applyProtection="1">
      <alignment/>
      <protection/>
    </xf>
    <xf numFmtId="43" fontId="9" fillId="0" borderId="0" xfId="48" applyFont="1" applyAlignment="1" applyProtection="1">
      <alignment/>
      <protection/>
    </xf>
    <xf numFmtId="181" fontId="9" fillId="0" borderId="0" xfId="61" applyNumberFormat="1" applyFont="1" applyAlignment="1" applyProtection="1">
      <alignment/>
      <protection/>
    </xf>
    <xf numFmtId="182" fontId="9" fillId="0" borderId="0" xfId="48" applyNumberFormat="1" applyFont="1" applyAlignment="1" applyProtection="1">
      <alignment/>
      <protection/>
    </xf>
    <xf numFmtId="43" fontId="2" fillId="0" borderId="0" xfId="48" applyFont="1" applyAlignment="1">
      <alignment/>
    </xf>
    <xf numFmtId="0" fontId="29" fillId="0" borderId="0" xfId="0" applyFont="1" applyAlignment="1">
      <alignment/>
    </xf>
    <xf numFmtId="180" fontId="17" fillId="0" borderId="0" xfId="59" applyFont="1">
      <alignment/>
      <protection/>
    </xf>
    <xf numFmtId="180" fontId="30" fillId="0" borderId="0" xfId="56" applyFont="1" applyAlignment="1">
      <alignment horizontal="justify" vertical="top" wrapText="1"/>
      <protection/>
    </xf>
    <xf numFmtId="43" fontId="15" fillId="33" borderId="0" xfId="48" applyFont="1" applyFill="1" applyAlignment="1" applyProtection="1">
      <alignment/>
      <protection/>
    </xf>
    <xf numFmtId="190" fontId="15" fillId="33" borderId="0" xfId="48" applyNumberFormat="1" applyFont="1" applyFill="1" applyAlignment="1" applyProtection="1">
      <alignment/>
      <protection/>
    </xf>
    <xf numFmtId="180" fontId="2" fillId="0" borderId="0" xfId="59" applyFont="1" applyAlignment="1">
      <alignment wrapText="1"/>
      <protection/>
    </xf>
    <xf numFmtId="7" fontId="2" fillId="0" borderId="0" xfId="59" applyNumberFormat="1" applyFont="1" applyAlignment="1" applyProtection="1">
      <alignment wrapText="1"/>
      <protection/>
    </xf>
    <xf numFmtId="7" fontId="6" fillId="0" borderId="0" xfId="59" applyNumberFormat="1" applyFont="1" applyAlignment="1" applyProtection="1">
      <alignment wrapText="1"/>
      <protection locked="0"/>
    </xf>
    <xf numFmtId="180" fontId="2" fillId="0" borderId="0" xfId="59" applyNumberFormat="1" applyFont="1" applyAlignment="1" applyProtection="1">
      <alignment horizontal="left" vertical="top" wrapText="1"/>
      <protection/>
    </xf>
    <xf numFmtId="43" fontId="1" fillId="0" borderId="0" xfId="48" applyFont="1" applyAlignment="1">
      <alignment/>
    </xf>
    <xf numFmtId="0" fontId="32" fillId="0" borderId="0" xfId="0" applyFont="1" applyAlignment="1">
      <alignment wrapText="1"/>
    </xf>
    <xf numFmtId="181" fontId="0" fillId="0" borderId="0" xfId="48" applyNumberFormat="1" applyFont="1" applyAlignment="1">
      <alignment/>
    </xf>
    <xf numFmtId="199" fontId="1" fillId="0" borderId="0" xfId="49" applyNumberFormat="1" applyFont="1" applyAlignment="1">
      <alignment/>
    </xf>
    <xf numFmtId="180" fontId="33" fillId="0" borderId="0" xfId="45" applyNumberFormat="1" applyFont="1" applyAlignment="1" applyProtection="1">
      <alignment/>
      <protection/>
    </xf>
    <xf numFmtId="180" fontId="34" fillId="0" borderId="0" xfId="59" applyFont="1">
      <alignment/>
      <protection/>
    </xf>
    <xf numFmtId="43" fontId="0" fillId="0" borderId="0" xfId="48" applyFont="1" applyAlignment="1">
      <alignment/>
    </xf>
    <xf numFmtId="0" fontId="0" fillId="35" borderId="0" xfId="0" applyFill="1" applyAlignment="1">
      <alignment/>
    </xf>
    <xf numFmtId="43" fontId="0" fillId="35" borderId="0" xfId="48" applyFont="1" applyFill="1" applyAlignment="1">
      <alignment/>
    </xf>
    <xf numFmtId="1" fontId="5" fillId="35" borderId="0" xfId="48" applyNumberFormat="1" applyFont="1" applyFill="1" applyAlignment="1" applyProtection="1">
      <alignment/>
      <protection locked="0"/>
    </xf>
    <xf numFmtId="180" fontId="35" fillId="0" borderId="0" xfId="59" applyFont="1">
      <alignment/>
      <protection/>
    </xf>
    <xf numFmtId="4" fontId="35" fillId="0" borderId="0" xfId="59" applyNumberFormat="1" applyFont="1">
      <alignment/>
      <protection/>
    </xf>
    <xf numFmtId="186" fontId="5" fillId="33" borderId="0" xfId="49" applyNumberFormat="1" applyFont="1" applyFill="1" applyAlignment="1" applyProtection="1">
      <alignment/>
      <protection locked="0"/>
    </xf>
    <xf numFmtId="0" fontId="0" fillId="0" borderId="0" xfId="0" applyFont="1" applyAlignment="1">
      <alignment/>
    </xf>
    <xf numFmtId="10" fontId="36" fillId="0" borderId="0" xfId="61" applyNumberFormat="1" applyFont="1" applyAlignment="1">
      <alignment/>
    </xf>
    <xf numFmtId="10" fontId="36" fillId="0" borderId="0" xfId="61" applyNumberFormat="1" applyFont="1" applyAlignment="1">
      <alignment wrapText="1"/>
    </xf>
    <xf numFmtId="43" fontId="5" fillId="35" borderId="0" xfId="48" applyNumberFormat="1" applyFont="1" applyFill="1" applyAlignment="1" applyProtection="1">
      <alignment/>
      <protection locked="0"/>
    </xf>
    <xf numFmtId="180" fontId="34" fillId="35" borderId="0" xfId="59" applyFont="1" applyFill="1">
      <alignment/>
      <protection/>
    </xf>
    <xf numFmtId="180" fontId="1" fillId="35" borderId="0" xfId="59" applyFill="1">
      <alignment/>
      <protection/>
    </xf>
    <xf numFmtId="180" fontId="1" fillId="35" borderId="0" xfId="59" applyFont="1" applyFill="1">
      <alignment/>
      <protection/>
    </xf>
    <xf numFmtId="4" fontId="1" fillId="0" borderId="0" xfId="59" applyNumberFormat="1">
      <alignment/>
      <protection/>
    </xf>
    <xf numFmtId="4" fontId="0" fillId="0" borderId="0" xfId="48" applyNumberFormat="1" applyFont="1" applyAlignment="1">
      <alignment/>
    </xf>
    <xf numFmtId="185" fontId="1" fillId="0" borderId="0" xfId="51" applyNumberFormat="1" applyFont="1" applyAlignment="1">
      <alignment/>
    </xf>
    <xf numFmtId="185" fontId="34" fillId="0" borderId="0" xfId="51" applyNumberFormat="1" applyFont="1" applyAlignment="1">
      <alignment/>
    </xf>
    <xf numFmtId="185" fontId="34" fillId="0" borderId="0" xfId="51" applyNumberFormat="1" applyFont="1" applyAlignment="1">
      <alignment vertical="top" wrapText="1"/>
    </xf>
    <xf numFmtId="185" fontId="1" fillId="0" borderId="0" xfId="51" applyNumberFormat="1" applyFont="1" applyAlignment="1">
      <alignment vertical="top" wrapText="1"/>
    </xf>
    <xf numFmtId="0" fontId="31" fillId="0" borderId="0" xfId="57" applyFont="1" applyAlignment="1">
      <alignment horizontal="left"/>
      <protection/>
    </xf>
    <xf numFmtId="43" fontId="1" fillId="0" borderId="0" xfId="52" applyFont="1" applyAlignment="1">
      <alignment/>
    </xf>
    <xf numFmtId="4" fontId="1" fillId="0" borderId="0" xfId="52" applyNumberFormat="1" applyFont="1" applyAlignment="1">
      <alignment/>
    </xf>
    <xf numFmtId="0" fontId="0" fillId="0" borderId="0" xfId="57">
      <alignment/>
      <protection/>
    </xf>
    <xf numFmtId="180" fontId="34" fillId="0" borderId="0" xfId="59" applyFont="1" applyFill="1">
      <alignment/>
      <protection/>
    </xf>
    <xf numFmtId="180" fontId="1" fillId="0" borderId="0" xfId="59" applyFill="1">
      <alignment/>
      <protection/>
    </xf>
    <xf numFmtId="0" fontId="38" fillId="0" borderId="0" xfId="45" applyFont="1" applyAlignment="1" applyProtection="1">
      <alignment/>
      <protection/>
    </xf>
    <xf numFmtId="0" fontId="39" fillId="0" borderId="0" xfId="0" applyFont="1" applyAlignment="1">
      <alignment/>
    </xf>
    <xf numFmtId="180" fontId="2" fillId="0" borderId="12" xfId="0" applyNumberFormat="1" applyFont="1" applyBorder="1" applyAlignment="1">
      <alignment/>
    </xf>
    <xf numFmtId="180" fontId="40" fillId="0" borderId="0" xfId="59" applyFont="1" applyFill="1" applyAlignment="1">
      <alignment vertical="justify" wrapText="1"/>
      <protection/>
    </xf>
    <xf numFmtId="0" fontId="0" fillId="0" borderId="0" xfId="0" applyFont="1" applyAlignment="1">
      <alignment/>
    </xf>
    <xf numFmtId="180" fontId="15" fillId="0" borderId="0" xfId="59" applyFont="1" applyFill="1" applyAlignment="1">
      <alignment vertical="justify" wrapText="1"/>
      <protection/>
    </xf>
    <xf numFmtId="185" fontId="15" fillId="0" borderId="0" xfId="51" applyNumberFormat="1" applyFont="1" applyFill="1" applyAlignment="1">
      <alignment vertical="justify" wrapText="1"/>
    </xf>
    <xf numFmtId="185" fontId="2" fillId="0" borderId="0" xfId="51" applyNumberFormat="1" applyFont="1" applyFill="1" applyAlignment="1">
      <alignment vertical="justify" wrapText="1"/>
    </xf>
    <xf numFmtId="180" fontId="0" fillId="0" borderId="0" xfId="0" applyNumberFormat="1" applyFont="1" applyAlignment="1">
      <alignment/>
    </xf>
    <xf numFmtId="0" fontId="0" fillId="0" borderId="0" xfId="57" applyFont="1">
      <alignment/>
      <protection/>
    </xf>
    <xf numFmtId="0" fontId="41" fillId="35" borderId="0" xfId="57" applyFont="1" applyFill="1" applyAlignment="1">
      <alignment horizontal="left"/>
      <protection/>
    </xf>
    <xf numFmtId="0" fontId="41" fillId="0" borderId="0" xfId="57" applyFont="1" applyAlignment="1">
      <alignment horizontal="left"/>
      <protection/>
    </xf>
    <xf numFmtId="185" fontId="31" fillId="0" borderId="0" xfId="51" applyNumberFormat="1" applyFont="1" applyAlignment="1">
      <alignment horizontal="left"/>
    </xf>
    <xf numFmtId="185" fontId="42" fillId="0" borderId="0" xfId="51" applyNumberFormat="1" applyFont="1" applyAlignment="1">
      <alignment horizontal="left"/>
    </xf>
    <xf numFmtId="0" fontId="35" fillId="0" borderId="0" xfId="57" applyFont="1" applyAlignment="1">
      <alignment horizontal="left"/>
      <protection/>
    </xf>
    <xf numFmtId="0" fontId="42" fillId="0" borderId="0" xfId="57" applyFont="1" applyAlignment="1">
      <alignment horizontal="left"/>
      <protection/>
    </xf>
    <xf numFmtId="195" fontId="40" fillId="0" borderId="0" xfId="59" applyNumberFormat="1" applyFont="1" applyFill="1" applyProtection="1">
      <alignment/>
      <protection/>
    </xf>
    <xf numFmtId="194" fontId="2" fillId="0" borderId="0" xfId="59" applyNumberFormat="1" applyFont="1" applyFill="1" applyProtection="1">
      <alignment/>
      <protection/>
    </xf>
    <xf numFmtId="39" fontId="2" fillId="35" borderId="0" xfId="59" applyNumberFormat="1" applyFont="1" applyFill="1" applyProtection="1">
      <alignment/>
      <protection/>
    </xf>
    <xf numFmtId="194" fontId="1" fillId="0" borderId="0" xfId="59" applyNumberFormat="1" applyFont="1">
      <alignment/>
      <protection/>
    </xf>
    <xf numFmtId="194" fontId="1" fillId="0" borderId="0" xfId="51" applyNumberFormat="1" applyFont="1" applyAlignment="1">
      <alignment/>
    </xf>
    <xf numFmtId="185" fontId="2" fillId="0" borderId="0" xfId="51" applyNumberFormat="1" applyFont="1" applyFill="1" applyAlignment="1" applyProtection="1">
      <alignment/>
      <protection/>
    </xf>
    <xf numFmtId="190" fontId="1" fillId="0" borderId="0" xfId="52" applyNumberFormat="1" applyFont="1" applyAlignment="1">
      <alignment/>
    </xf>
    <xf numFmtId="43" fontId="2" fillId="0" borderId="0" xfId="52" applyFont="1" applyFill="1" applyAlignment="1" applyProtection="1">
      <alignment/>
      <protection/>
    </xf>
    <xf numFmtId="180" fontId="2" fillId="0" borderId="0" xfId="59" applyNumberFormat="1" applyFont="1" applyAlignment="1" applyProtection="1">
      <alignment horizontal="center"/>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0]_flujo" xfId="50"/>
    <cellStyle name="Millares [0]_flujo2002" xfId="51"/>
    <cellStyle name="Millares_flujo2002" xfId="52"/>
    <cellStyle name="Currency" xfId="53"/>
    <cellStyle name="Currency [0]" xfId="54"/>
    <cellStyle name="Neutral" xfId="55"/>
    <cellStyle name="Normal_flujo" xfId="56"/>
    <cellStyle name="Normal_flujo2002" xfId="57"/>
    <cellStyle name="Normal_flujobis" xfId="58"/>
    <cellStyle name="Normal_flujoversion99sincircymacro"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Hojaweb\fluj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EMP\FLUJOENINGLES10a&#241;os+0sin%20cir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LUJO DE CAJA PROYECTO"/>
      <sheetName val="sensibilidad"/>
      <sheetName val="VPN PRECIOS K VS CTES"/>
      <sheetName val="FLUJO DE CAJA PROYECTO CTE"/>
      <sheetName val="FLUJO DE CAJA PROYECTO K"/>
      <sheetName val="PRECIOS RELATIVOS"/>
      <sheetName val="CASHFLOW"/>
      <sheetName val="FLUJO DE CAJA FINANCIADO"/>
      <sheetName val="Módulo2"/>
      <sheetName val="Módulo1"/>
      <sheetName val="Módulo4"/>
      <sheetName val="Módulo3"/>
      <sheetName val="Módulo5"/>
      <sheetName val="flujo"/>
    </sheetNames>
    <sheetDataSet>
      <sheetData sheetId="7">
        <row r="253">
          <cell r="A253" t="str">
            <v>OTROS GASTOS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HFLOW NPV&gt;0 NOCIRC DEUDK"/>
      <sheetName val="Hoja1"/>
      <sheetName val="Hoja2"/>
      <sheetName val="Hoja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oligran.edu.co/decisiones" TargetMode="External" /><Relationship Id="rId2" Type="http://schemas.openxmlformats.org/officeDocument/2006/relationships/hyperlink" Target="mailto:ivelez@poligran.edu.co"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dimension ref="A1:A1"/>
  <sheetViews>
    <sheetView showGridLines="0" showRowColHeaders="0" showZeros="0" showOutlineSymbols="0" zoomScaleSheetLayoutView="68" zoomScalePageLayoutView="0" workbookViewId="0" topLeftCell="B19527">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G17"/>
  <sheetViews>
    <sheetView zoomScale="75" zoomScaleNormal="75" zoomScalePageLayoutView="0" workbookViewId="0" topLeftCell="A1">
      <selection activeCell="A1" sqref="A1"/>
    </sheetView>
  </sheetViews>
  <sheetFormatPr defaultColWidth="11.421875" defaultRowHeight="12.75"/>
  <cols>
    <col min="1" max="1" width="35.140625" style="0" customWidth="1"/>
    <col min="3" max="3" width="11.57421875" style="0" bestFit="1" customWidth="1"/>
  </cols>
  <sheetData>
    <row r="1" spans="1:7" ht="13.5">
      <c r="A1" s="147" t="s">
        <v>328</v>
      </c>
      <c r="B1" s="7"/>
      <c r="C1" s="12" t="s">
        <v>7</v>
      </c>
      <c r="D1" s="12" t="s">
        <v>8</v>
      </c>
      <c r="E1" s="12" t="s">
        <v>9</v>
      </c>
      <c r="F1" s="12" t="s">
        <v>10</v>
      </c>
      <c r="G1" s="12" t="s">
        <v>11</v>
      </c>
    </row>
    <row r="3" spans="1:7" ht="12.75">
      <c r="A3" s="64" t="s">
        <v>411</v>
      </c>
      <c r="B3" s="9"/>
      <c r="C3" s="34"/>
      <c r="D3" s="9"/>
      <c r="E3" s="9"/>
      <c r="F3" s="9"/>
      <c r="G3" s="9"/>
    </row>
    <row r="4" spans="1:7" ht="12.75">
      <c r="A4" s="64" t="s">
        <v>281</v>
      </c>
      <c r="B4" s="8"/>
      <c r="C4" s="9"/>
      <c r="D4" s="9"/>
      <c r="E4" s="9"/>
      <c r="F4" s="9"/>
      <c r="G4" s="9"/>
    </row>
    <row r="5" spans="1:7" ht="12.75">
      <c r="A5" s="64" t="s">
        <v>282</v>
      </c>
      <c r="B5" s="9"/>
      <c r="C5" s="34">
        <f>-FLUJO_DE_CAJA_PROYECTO!C92+FLUJO_DE_CAJA_PROYECTO!C119+FLUJO_DE_CAJA_PROYECTO!B92</f>
        <v>0</v>
      </c>
      <c r="D5" s="34">
        <f>-FLUJO_DE_CAJA_PROYECTO!D92+FLUJO_DE_CAJA_PROYECTO!D119+FLUJO_DE_CAJA_PROYECTO!C92</f>
        <v>47992.17557327827</v>
      </c>
      <c r="E5" s="34">
        <f>-FLUJO_DE_CAJA_PROYECTO!E92+FLUJO_DE_CAJA_PROYECTO!E119+FLUJO_DE_CAJA_PROYECTO!D92</f>
        <v>66333.43279464601</v>
      </c>
      <c r="F5" s="34">
        <f>-FLUJO_DE_CAJA_PROYECTO!F92+FLUJO_DE_CAJA_PROYECTO!F119+FLUJO_DE_CAJA_PROYECTO!E92</f>
        <v>85267.18359834235</v>
      </c>
      <c r="G5" s="34">
        <f>-FLUJO_DE_CAJA_PROYECTO!G92+FLUJO_DE_CAJA_PROYECTO!G119+FLUJO_DE_CAJA_PROYECTO!F92</f>
        <v>107070.76864675875</v>
      </c>
    </row>
    <row r="6" spans="1:7" ht="12.75">
      <c r="A6" s="64" t="s">
        <v>283</v>
      </c>
      <c r="B6" s="9"/>
      <c r="C6" s="34">
        <f>SUM(FLUJO_DE_CAJA_PROYECTO!B104:B108)+FLUJO_DE_CAJA_PROYECTO!C124-SUM(FLUJO_DE_CAJA_PROYECTO!C104:C108)</f>
        <v>0</v>
      </c>
      <c r="D6" s="34">
        <f>SUM(FLUJO_DE_CAJA_PROYECTO!C104:C108)+FLUJO_DE_CAJA_PROYECTO!D124+SUM(FLUJO_DE_CAJA_PROYECTO!D131:D135)-SUM(FLUJO_DE_CAJA_PROYECTO!D104:D108)+FLUJO_DE_CAJA_PROYECTO!D137+FLUJO_DE_CAJA_PROYECTO!D144</f>
        <v>34719.19920602548</v>
      </c>
      <c r="E6" s="34">
        <f>SUM(FLUJO_DE_CAJA_PROYECTO!D104:D108)+FLUJO_DE_CAJA_PROYECTO!E124+SUM(FLUJO_DE_CAJA_PROYECTO!E131:E135)-SUM(FLUJO_DE_CAJA_PROYECTO!E104:E108)+FLUJO_DE_CAJA_PROYECTO!E137+FLUJO_DE_CAJA_PROYECTO!E144</f>
        <v>47108.47949718189</v>
      </c>
      <c r="F6" s="34">
        <f>SUM(FLUJO_DE_CAJA_PROYECTO!E104:E108)+FLUJO_DE_CAJA_PROYECTO!F124+SUM(FLUJO_DE_CAJA_PROYECTO!F131:F135)-SUM(FLUJO_DE_CAJA_PROYECTO!F104:F108)+FLUJO_DE_CAJA_PROYECTO!F137+FLUJO_DE_CAJA_PROYECTO!F144</f>
        <v>61205.12283258821</v>
      </c>
      <c r="G6" s="34">
        <f>SUM(FLUJO_DE_CAJA_PROYECTO!F104:F108)+FLUJO_DE_CAJA_PROYECTO!G124+SUM(FLUJO_DE_CAJA_PROYECTO!G131:G135)-SUM(FLUJO_DE_CAJA_PROYECTO!G104:G108)+FLUJO_DE_CAJA_PROYECTO!G137+FLUJO_DE_CAJA_PROYECTO!G144</f>
        <v>79141.62910721615</v>
      </c>
    </row>
    <row r="7" spans="1:7" ht="25.5">
      <c r="A7" s="64" t="s">
        <v>288</v>
      </c>
      <c r="B7" s="9"/>
      <c r="C7" s="34">
        <f>+FLUJO_DE_CAJA_PROYECTO!B141*FLUJO_DE_CAJA_PROYECTO!$D$7</f>
        <v>0</v>
      </c>
      <c r="D7" s="34">
        <f>+FLUJO_DE_CAJA_PROYECTO!C141*FLUJO_DE_CAJA_PROYECTO!$D$7</f>
        <v>0</v>
      </c>
      <c r="E7" s="34">
        <f>+FLUJO_DE_CAJA_PROYECTO!D141*FLUJO_DE_CAJA_PROYECTO!$D$7</f>
        <v>1874.8209647091794</v>
      </c>
      <c r="F7" s="34">
        <f>+FLUJO_DE_CAJA_PROYECTO!E141*FLUJO_DE_CAJA_PROYECTO!$D$7</f>
        <v>901.8440148731062</v>
      </c>
      <c r="G7" s="34">
        <f>+FLUJO_DE_CAJA_PROYECTO!F141*FLUJO_DE_CAJA_PROYECTO!$D$7</f>
        <v>13.24213183301626</v>
      </c>
    </row>
    <row r="8" spans="1:7" ht="12.75">
      <c r="A8" s="64" t="s">
        <v>285</v>
      </c>
      <c r="B8" s="9"/>
      <c r="C8" s="34">
        <f>+FLUJO_DE_CAJA_PROYECTO!B95-FLUJO_DE_CAJA_PROYECTO!C95+FLUJO_DE_CAJA_PROYECTO!C140</f>
        <v>0</v>
      </c>
      <c r="D8" s="34">
        <f>+FLUJO_DE_CAJA_PROYECTO!C95-FLUJO_DE_CAJA_PROYECTO!D95+FLUJO_DE_CAJA_PROYECTO!D140</f>
        <v>0</v>
      </c>
      <c r="E8" s="34">
        <f>+FLUJO_DE_CAJA_PROYECTO!D95-FLUJO_DE_CAJA_PROYECTO!E95+FLUJO_DE_CAJA_PROYECTO!E140</f>
        <v>0</v>
      </c>
      <c r="F8" s="34">
        <f>+FLUJO_DE_CAJA_PROYECTO!E95-FLUJO_DE_CAJA_PROYECTO!F95+FLUJO_DE_CAJA_PROYECTO!F140</f>
        <v>2485.3930463991796</v>
      </c>
      <c r="G8" s="34">
        <f>+FLUJO_DE_CAJA_PROYECTO!F95-FLUJO_DE_CAJA_PROYECTO!G95+FLUJO_DE_CAJA_PROYECTO!G140</f>
        <v>9044.93399766729</v>
      </c>
    </row>
    <row r="9" spans="1:7" ht="25.5">
      <c r="A9" s="64" t="s">
        <v>290</v>
      </c>
      <c r="B9" s="9"/>
      <c r="C9" s="34">
        <f>+FLUJO_DE_CAJA_PROYECTO!C98+FLUJO_DE_CAJA_PROYECTO!C136-FLUJO_DE_CAJA_PROYECTO!B98</f>
        <v>40000</v>
      </c>
      <c r="D9" s="34">
        <f>+FLUJO_DE_CAJA_PROYECTO!D98+FLUJO_DE_CAJA_PROYECTO!D136-FLUJO_DE_CAJA_PROYECTO!C98</f>
        <v>0</v>
      </c>
      <c r="E9" s="34">
        <f>+FLUJO_DE_CAJA_PROYECTO!E98+FLUJO_DE_CAJA_PROYECTO!E136-FLUJO_DE_CAJA_PROYECTO!D98</f>
        <v>0</v>
      </c>
      <c r="F9" s="34">
        <f>+FLUJO_DE_CAJA_PROYECTO!F98+FLUJO_DE_CAJA_PROYECTO!F136-FLUJO_DE_CAJA_PROYECTO!E98</f>
        <v>0</v>
      </c>
      <c r="G9" s="34">
        <f>+FLUJO_DE_CAJA_PROYECTO!G98+FLUJO_DE_CAJA_PROYECTO!G136-FLUJO_DE_CAJA_PROYECTO!F98</f>
        <v>0</v>
      </c>
    </row>
    <row r="10" spans="1:7" ht="12.75">
      <c r="A10" s="59" t="s">
        <v>442</v>
      </c>
      <c r="B10" s="9"/>
      <c r="C10" s="34">
        <f>FLUJO_DE_CAJA_PROYECTO!C205</f>
        <v>-110</v>
      </c>
      <c r="D10" s="34">
        <f>FLUJO_DE_CAJA_PROYECTO!D205</f>
        <v>-110</v>
      </c>
      <c r="E10" s="34">
        <f>FLUJO_DE_CAJA_PROYECTO!E205</f>
        <v>-121</v>
      </c>
      <c r="F10" s="34">
        <f>FLUJO_DE_CAJA_PROYECTO!F205</f>
        <v>-150</v>
      </c>
      <c r="G10" s="34">
        <f>FLUJO_DE_CAJA_PROYECTO!G205</f>
        <v>-150</v>
      </c>
    </row>
    <row r="11" spans="1:7" ht="12.75">
      <c r="A11" s="59" t="s">
        <v>443</v>
      </c>
      <c r="B11" s="9"/>
      <c r="C11" s="34">
        <f>FLUJO_DE_CAJA_PROYECTO!C206</f>
        <v>0</v>
      </c>
      <c r="D11" s="34">
        <f>FLUJO_DE_CAJA_PROYECTO!D206</f>
        <v>110</v>
      </c>
      <c r="E11" s="34">
        <f>FLUJO_DE_CAJA_PROYECTO!E206</f>
        <v>110</v>
      </c>
      <c r="F11" s="34">
        <f>FLUJO_DE_CAJA_PROYECTO!F206</f>
        <v>121</v>
      </c>
      <c r="G11" s="34">
        <f>FLUJO_DE_CAJA_PROYECTO!G206</f>
        <v>150</v>
      </c>
    </row>
    <row r="12" spans="1:7" ht="12.75">
      <c r="A12" s="64" t="s">
        <v>286</v>
      </c>
      <c r="B12" s="9"/>
      <c r="C12" s="34">
        <f>+FLUJO_DE_CAJA_PROYECTO!B94-FLUJO_DE_CAJA_PROYECTO!C94</f>
        <v>0</v>
      </c>
      <c r="D12" s="34">
        <f>+FLUJO_DE_CAJA_PROYECTO!C94-FLUJO_DE_CAJA_PROYECTO!D94</f>
        <v>0</v>
      </c>
      <c r="E12" s="34">
        <f>+FLUJO_DE_CAJA_PROYECTO!D94-FLUJO_DE_CAJA_PROYECTO!E94</f>
        <v>-8794.738310821078</v>
      </c>
      <c r="F12" s="34">
        <f>+FLUJO_DE_CAJA_PROYECTO!E94-FLUJO_DE_CAJA_PROYECTO!F94</f>
        <v>-24458.695542193702</v>
      </c>
      <c r="G12" s="34">
        <f>+FLUJO_DE_CAJA_PROYECTO!F94-FLUJO_DE_CAJA_PROYECTO!G94</f>
        <v>-32666.505470763368</v>
      </c>
    </row>
    <row r="13" spans="1:7" ht="102">
      <c r="A13" s="64" t="s">
        <v>319</v>
      </c>
      <c r="B13" s="9"/>
      <c r="C13" s="34">
        <f>+C5-C6+C12+C8-C7-C9+FLUJO_DE_CAJA_PROYECTO!C227+C10+C11</f>
        <v>-40110</v>
      </c>
      <c r="D13" s="34">
        <f>+D5-D6+D12+D8-D7-D9+FLUJO_DE_CAJA_PROYECTO!D227+D10+D11</f>
        <v>13272.976367252792</v>
      </c>
      <c r="E13" s="34">
        <f>+E5-E6+E12+E8-E7-E9+FLUJO_DE_CAJA_PROYECTO!E227+E10+E11</f>
        <v>8544.394021933862</v>
      </c>
      <c r="F13" s="34">
        <f>+F5-F6+F12+F8-F7-F9+FLUJO_DE_CAJA_PROYECTO!F227+F10+F11</f>
        <v>1157.9142550865122</v>
      </c>
      <c r="G13" s="34">
        <f>+G5-G6+G12+G8-G7-G9+FLUJO_DE_CAJA_PROYECTO!G227+G10+G11</f>
        <v>122382.4208482505</v>
      </c>
    </row>
    <row r="14" spans="1:7" ht="12.75">
      <c r="A14" s="64" t="s">
        <v>287</v>
      </c>
      <c r="B14" s="9"/>
      <c r="C14" s="34"/>
      <c r="D14" s="108">
        <f>+FLUJO_DE_CAJA_PROYECTO!D230</f>
        <v>13272.976367209245</v>
      </c>
      <c r="E14" s="108">
        <f>+FLUJO_DE_CAJA_PROYECTO!E230</f>
        <v>8544.39402203248</v>
      </c>
      <c r="F14" s="108">
        <f>+FLUJO_DE_CAJA_PROYECTO!F230</f>
        <v>1157.9142554161222</v>
      </c>
      <c r="G14" s="108">
        <f>+FLUJO_DE_CAJA_PROYECTO!G230</f>
        <v>122382.42085490692</v>
      </c>
    </row>
    <row r="15" spans="1:7" ht="12.75">
      <c r="A15" s="64"/>
      <c r="B15" s="9"/>
      <c r="C15" s="34"/>
      <c r="D15" s="108">
        <f>+D13-D14</f>
        <v>4.3546606320887804E-08</v>
      </c>
      <c r="E15" s="108">
        <f>+E13-E14</f>
        <v>-9.861832950264215E-08</v>
      </c>
      <c r="F15" s="108">
        <f>+F13-F14</f>
        <v>-3.296099748695269E-07</v>
      </c>
      <c r="G15" s="108">
        <f>+G13-G14</f>
        <v>-6.656409823335707E-06</v>
      </c>
    </row>
    <row r="16" spans="1:7" ht="12.75">
      <c r="A16" s="9"/>
      <c r="B16" s="9"/>
      <c r="C16" s="34"/>
      <c r="D16" s="9"/>
      <c r="E16" s="9"/>
      <c r="F16" s="9"/>
      <c r="G16" s="9"/>
    </row>
    <row r="17" spans="1:7" ht="25.5">
      <c r="A17" s="64" t="s">
        <v>295</v>
      </c>
      <c r="B17" s="9"/>
      <c r="C17" s="34"/>
      <c r="D17" s="9">
        <f>+D14-FLUJO_DE_CAJA_PROYECTO!D27*(FLUJO_DE_CAJA_PROYECTO!$C$100-SUM($C$16:C16))</f>
        <v>1512.724367209239</v>
      </c>
      <c r="E17" s="9">
        <f>+E14-FLUJO_DE_CAJA_PROYECTO!E27*(FLUJO_DE_CAJA_PROYECTO!$C$100-SUM($C$17:D17))</f>
        <v>-3181.4583152093564</v>
      </c>
      <c r="F17" s="9">
        <f>+F14-FLUJO_DE_CAJA_PROYECTO!F27*(FLUJO_DE_CAJA_PROYECTO!$C$100-SUM($C$17:E17))</f>
        <v>-10648.75595828871</v>
      </c>
      <c r="G17" s="9">
        <f>+G14-FLUJO_DE_CAJA_PROYECTO!G27*(FLUJO_DE_CAJA_PROYECTO!$C$100-SUM($C$17:F17))</f>
        <v>108122.14360039635</v>
      </c>
    </row>
  </sheetData>
  <sheetProtection/>
  <hyperlinks>
    <hyperlink ref="A1" location="MENU!A1" display="MENU"/>
  </hyperlink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R19"/>
  <sheetViews>
    <sheetView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1.421875" defaultRowHeight="12.75"/>
  <cols>
    <col min="2" max="2" width="9.8515625" style="0" bestFit="1" customWidth="1"/>
    <col min="3" max="3" width="11.7109375" style="0" bestFit="1" customWidth="1"/>
    <col min="4" max="4" width="10.28125" style="0" customWidth="1"/>
    <col min="5" max="5" width="11.57421875" style="0" customWidth="1"/>
    <col min="6" max="6" width="10.57421875" style="0" bestFit="1" customWidth="1"/>
    <col min="7" max="7" width="9.8515625" style="0" bestFit="1" customWidth="1"/>
    <col min="8" max="8" width="7.28125" style="0" bestFit="1" customWidth="1"/>
    <col min="9" max="9" width="7.28125" style="0" customWidth="1"/>
    <col min="10" max="10" width="10.28125" style="0" bestFit="1" customWidth="1"/>
    <col min="11" max="11" width="7.28125" style="0" bestFit="1" customWidth="1"/>
    <col min="12" max="12" width="9.00390625" style="0" bestFit="1" customWidth="1"/>
    <col min="13" max="13" width="11.140625" style="0" bestFit="1" customWidth="1"/>
    <col min="14" max="14" width="10.28125" style="0" bestFit="1" customWidth="1"/>
  </cols>
  <sheetData>
    <row r="1" spans="1:8" ht="12.75">
      <c r="A1" s="147" t="s">
        <v>328</v>
      </c>
      <c r="B1">
        <f>+IRVA!B2</f>
        <v>0</v>
      </c>
      <c r="C1">
        <f>+IRVA!C2</f>
        <v>1</v>
      </c>
      <c r="D1">
        <f>+IRVA!D2</f>
        <v>2</v>
      </c>
      <c r="E1">
        <f>+IRVA!E2</f>
        <v>3</v>
      </c>
      <c r="F1">
        <f>+IRVA!F2</f>
        <v>4</v>
      </c>
      <c r="H1" s="134" t="s">
        <v>376</v>
      </c>
    </row>
    <row r="2" spans="1:6" ht="12.75">
      <c r="A2" t="s">
        <v>309</v>
      </c>
      <c r="B2" s="120">
        <f>+IRVA!B3</f>
        <v>-40110</v>
      </c>
      <c r="C2" s="120">
        <f>+IRVA!C3</f>
        <v>13272.976367209245</v>
      </c>
      <c r="D2" s="120">
        <f>+IRVA!D3</f>
        <v>8544.39402203248</v>
      </c>
      <c r="E2" s="120">
        <f>+IRVA!E3</f>
        <v>1157.9142554161222</v>
      </c>
      <c r="F2" s="120">
        <f>+IRVA!F3</f>
        <v>122382.42085490692</v>
      </c>
    </row>
    <row r="3" spans="1:6" ht="12.75">
      <c r="A3" t="s">
        <v>320</v>
      </c>
      <c r="C3" s="110">
        <f>+IRVA!C4</f>
        <v>0.2932000000000001</v>
      </c>
      <c r="D3" s="110">
        <f>+IRVA!D4</f>
        <v>0.30380000000000007</v>
      </c>
      <c r="E3" s="110">
        <f>+IRVA!E4</f>
        <v>0.28259999999999996</v>
      </c>
      <c r="F3" s="110">
        <f>+IRVA!F4</f>
        <v>0.272</v>
      </c>
    </row>
    <row r="4" spans="1:7" ht="12.75">
      <c r="A4" t="s">
        <v>321</v>
      </c>
      <c r="B4">
        <f>+IRVA!B5</f>
        <v>1</v>
      </c>
      <c r="C4">
        <f>+IRVA!C5</f>
        <v>0.7732755954222084</v>
      </c>
      <c r="D4">
        <f>+IRVA!D5</f>
        <v>0.593093722520485</v>
      </c>
      <c r="E4">
        <f>+IRVA!E5</f>
        <v>0.4624151898647162</v>
      </c>
      <c r="F4">
        <f>+IRVA!F5</f>
        <v>0.36353395429616053</v>
      </c>
      <c r="G4" s="112" t="s">
        <v>292</v>
      </c>
    </row>
    <row r="5" spans="1:18" ht="102">
      <c r="A5" t="s">
        <v>312</v>
      </c>
      <c r="B5" s="96" t="s">
        <v>289</v>
      </c>
      <c r="C5" s="96" t="s">
        <v>298</v>
      </c>
      <c r="D5" s="96" t="s">
        <v>302</v>
      </c>
      <c r="E5" s="96" t="s">
        <v>212</v>
      </c>
      <c r="F5" s="96" t="s">
        <v>300</v>
      </c>
      <c r="G5" s="96" t="s">
        <v>299</v>
      </c>
      <c r="H5" s="96" t="s">
        <v>316</v>
      </c>
      <c r="J5" s="96"/>
      <c r="K5" s="96"/>
      <c r="L5" s="96"/>
      <c r="M5" s="96"/>
      <c r="N5" s="96"/>
      <c r="O5" s="96"/>
      <c r="P5" s="96"/>
      <c r="Q5" s="96"/>
      <c r="R5" s="96"/>
    </row>
    <row r="6" spans="1:18" ht="12.75">
      <c r="A6">
        <v>0</v>
      </c>
      <c r="B6" s="109"/>
      <c r="C6" s="109"/>
      <c r="D6" s="109"/>
      <c r="E6" s="109"/>
      <c r="F6" s="109">
        <f>+FLUJO_DE_CAJA_PROYECTO!C230</f>
        <v>-40110</v>
      </c>
      <c r="H6" s="114"/>
      <c r="J6" s="113"/>
      <c r="K6" s="113"/>
      <c r="L6" s="113"/>
      <c r="M6" s="113"/>
      <c r="N6" s="113"/>
      <c r="O6" s="113"/>
      <c r="P6" s="113"/>
      <c r="Q6" s="113"/>
      <c r="R6" s="113"/>
    </row>
    <row r="7" spans="1:18" ht="12.75">
      <c r="A7">
        <v>1</v>
      </c>
      <c r="B7" s="113">
        <f>+F6</f>
        <v>-40110</v>
      </c>
      <c r="C7" s="113">
        <f>+G$6:G$65536*B$6:B$65536</f>
        <v>-11760.252000000006</v>
      </c>
      <c r="D7" s="113">
        <f>+E$6:E$65536+C$6:C$65536</f>
        <v>1512.7243672092409</v>
      </c>
      <c r="E7" s="113">
        <f>+FLUJO_DE_CAJA_PROYECTO!D230</f>
        <v>13272.976367209245</v>
      </c>
      <c r="F7" s="113">
        <f>+B7+D7</f>
        <v>-38597.275632790755</v>
      </c>
      <c r="G7" s="110">
        <f>+FLUJO_DE_CAJA_PROYECTO!D27</f>
        <v>0.2932000000000001</v>
      </c>
      <c r="H7" s="87"/>
      <c r="J7" s="113"/>
      <c r="K7" s="110"/>
      <c r="L7" s="87"/>
      <c r="M7" s="87"/>
      <c r="N7" s="113"/>
      <c r="O7" s="113"/>
      <c r="P7" s="113"/>
      <c r="Q7" s="113"/>
      <c r="R7" s="113"/>
    </row>
    <row r="8" spans="1:18" ht="12.75">
      <c r="A8">
        <v>2</v>
      </c>
      <c r="B8" s="113">
        <f>+F7</f>
        <v>-38597.275632790755</v>
      </c>
      <c r="C8" s="113">
        <f>+G$6:G$65536*B$6:B$65536</f>
        <v>-11725.852337241835</v>
      </c>
      <c r="D8" s="113">
        <f>+E$6:E$65536+C$6:C$65536</f>
        <v>-3181.458315266971</v>
      </c>
      <c r="E8" s="113">
        <f>+FLUJO_DE_CAJA_PROYECTO!E230</f>
        <v>8544.39402203248</v>
      </c>
      <c r="F8" s="113">
        <f>+B8+D8</f>
        <v>-41778.73394805773</v>
      </c>
      <c r="G8" s="110">
        <f>+FLUJO_DE_CAJA_PROYECTO!E27</f>
        <v>0.30380000000000007</v>
      </c>
      <c r="H8" s="114"/>
      <c r="J8" s="113"/>
      <c r="K8" s="110"/>
      <c r="L8" s="114"/>
      <c r="M8" s="87"/>
      <c r="N8" s="113"/>
      <c r="O8" s="113"/>
      <c r="P8" s="113"/>
      <c r="Q8" s="113"/>
      <c r="R8" s="113"/>
    </row>
    <row r="9" spans="1:18" ht="12.75">
      <c r="A9">
        <v>3</v>
      </c>
      <c r="B9" s="113">
        <f>+F8</f>
        <v>-41778.73394805773</v>
      </c>
      <c r="C9" s="113">
        <f>+G$6:G$65536*B$6:B$65536</f>
        <v>-11806.670213721112</v>
      </c>
      <c r="D9" s="113">
        <f>+E$6:E$65536+C$6:C$65536</f>
        <v>-10648.7559583007</v>
      </c>
      <c r="E9" s="113">
        <f>+FLUJO_DE_CAJA_PROYECTO!F230</f>
        <v>1157.9142554161222</v>
      </c>
      <c r="F9" s="113">
        <f>+B9+D9</f>
        <v>-52427.48990635843</v>
      </c>
      <c r="G9" s="110">
        <f>+FLUJO_DE_CAJA_PROYECTO!F27</f>
        <v>0.28259999999999996</v>
      </c>
      <c r="H9" s="114"/>
      <c r="J9" s="113"/>
      <c r="K9" s="110"/>
      <c r="L9" s="114"/>
      <c r="M9" s="87"/>
      <c r="N9" s="113"/>
      <c r="O9" s="113"/>
      <c r="P9" s="113"/>
      <c r="Q9" s="113"/>
      <c r="R9" s="113"/>
    </row>
    <row r="10" spans="1:18" ht="12.75">
      <c r="A10">
        <v>4</v>
      </c>
      <c r="B10" s="113">
        <f>+F9</f>
        <v>-52427.48990635843</v>
      </c>
      <c r="C10" s="113">
        <f>+G$6:G$65536*B$6:B$65536</f>
        <v>-14260.277254529494</v>
      </c>
      <c r="D10" s="113">
        <f>+E$6:E$65536+C$6:C$65536</f>
        <v>108122.14359963598</v>
      </c>
      <c r="E10" s="113">
        <f>+FLUJO_DE_CAJA_PROYECTO!G230</f>
        <v>122382.42085490692</v>
      </c>
      <c r="F10" s="113">
        <f>+B10+D10</f>
        <v>55694.65369327755</v>
      </c>
      <c r="G10" s="110">
        <f>+FLUJO_DE_CAJA_PROYECTO!G27</f>
        <v>0.272</v>
      </c>
      <c r="H10" s="114"/>
      <c r="J10" s="113"/>
      <c r="K10" s="110"/>
      <c r="L10" s="114"/>
      <c r="M10" s="87"/>
      <c r="N10" s="113"/>
      <c r="O10" s="113"/>
      <c r="P10" s="113"/>
      <c r="Q10" s="113"/>
      <c r="R10" s="113"/>
    </row>
    <row r="11" spans="6:18" ht="12.75">
      <c r="F11" s="109">
        <f>+F10*F4</f>
        <v>20246.89769027245</v>
      </c>
      <c r="N11" s="113"/>
      <c r="R11" s="113"/>
    </row>
    <row r="12" spans="7:18" ht="12.75">
      <c r="G12" s="109"/>
      <c r="R12" s="113"/>
    </row>
    <row r="14" spans="1:6" ht="89.25">
      <c r="A14" t="s">
        <v>312</v>
      </c>
      <c r="B14" s="96" t="str">
        <f aca="true" t="shared" si="0" ref="B14:B19">+F5</f>
        <v>INVERSION NO AMORTIZADA O VALOR AGREGADO</v>
      </c>
      <c r="C14" s="96" t="s">
        <v>317</v>
      </c>
      <c r="D14" s="96" t="s">
        <v>316</v>
      </c>
      <c r="F14" s="96"/>
    </row>
    <row r="15" spans="1:4" ht="12.75">
      <c r="A15">
        <v>0</v>
      </c>
      <c r="B15" s="115">
        <f t="shared" si="0"/>
        <v>-40110</v>
      </c>
      <c r="C15">
        <v>1</v>
      </c>
      <c r="D15" s="113">
        <f>+C15*B15</f>
        <v>-40110</v>
      </c>
    </row>
    <row r="16" spans="1:4" ht="12.75">
      <c r="A16">
        <v>1</v>
      </c>
      <c r="B16" s="115">
        <f t="shared" si="0"/>
        <v>-38597.275632790755</v>
      </c>
      <c r="C16">
        <f>1/(1+G7)</f>
        <v>0.7732755954222084</v>
      </c>
      <c r="D16" s="113">
        <f>+C16*B16</f>
        <v>-29846.331296621367</v>
      </c>
    </row>
    <row r="17" spans="1:4" ht="12.75">
      <c r="A17">
        <v>2</v>
      </c>
      <c r="B17" s="115">
        <f t="shared" si="0"/>
        <v>-41778.73394805773</v>
      </c>
      <c r="C17">
        <f>+C16/(1+G8)</f>
        <v>0.593093722520485</v>
      </c>
      <c r="D17" s="113">
        <f>+C17*B17</f>
        <v>-24778.704839446516</v>
      </c>
    </row>
    <row r="18" spans="1:4" ht="12.75">
      <c r="A18">
        <v>3</v>
      </c>
      <c r="B18" s="115">
        <f t="shared" si="0"/>
        <v>-52427.48990635843</v>
      </c>
      <c r="C18">
        <f>+C17/(1+G9)</f>
        <v>0.4624151898647162</v>
      </c>
      <c r="D18" s="113">
        <f>+C18*B18</f>
        <v>-24243.267699179225</v>
      </c>
    </row>
    <row r="19" spans="1:4" ht="12.75">
      <c r="A19">
        <v>4</v>
      </c>
      <c r="B19" s="115">
        <f t="shared" si="0"/>
        <v>55694.65369327755</v>
      </c>
      <c r="C19">
        <f>+C18/(1+G10)</f>
        <v>0.36353395429616053</v>
      </c>
      <c r="D19" s="113">
        <f>+C19*B19</f>
        <v>20246.89769027245</v>
      </c>
    </row>
  </sheetData>
  <sheetProtection/>
  <hyperlinks>
    <hyperlink ref="A1" location="MENU!A1" display="MENU"/>
  </hyperlink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R51"/>
  <sheetViews>
    <sheetView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1.421875" defaultRowHeight="12.75"/>
  <cols>
    <col min="2" max="2" width="16.00390625" style="0" customWidth="1"/>
    <col min="4" max="4" width="13.57421875" style="0" customWidth="1"/>
    <col min="5" max="5" width="11.57421875" style="0" customWidth="1"/>
    <col min="6" max="6" width="11.8515625" style="0" customWidth="1"/>
    <col min="7" max="7" width="9.8515625" style="0" bestFit="1" customWidth="1"/>
    <col min="8" max="8" width="7.28125" style="0" bestFit="1" customWidth="1"/>
    <col min="9" max="9" width="9.140625" style="0" customWidth="1"/>
    <col min="10" max="10" width="10.28125" style="0" bestFit="1" customWidth="1"/>
    <col min="11" max="11" width="7.28125" style="0" bestFit="1" customWidth="1"/>
    <col min="12" max="12" width="9.00390625" style="0" bestFit="1" customWidth="1"/>
    <col min="13" max="13" width="11.140625" style="0" bestFit="1" customWidth="1"/>
    <col min="14" max="14" width="10.28125" style="0" bestFit="1" customWidth="1"/>
  </cols>
  <sheetData>
    <row r="1" spans="1:2" ht="12.75">
      <c r="A1" s="147" t="s">
        <v>328</v>
      </c>
      <c r="B1" s="134" t="s">
        <v>296</v>
      </c>
    </row>
    <row r="2" spans="2:6" ht="12.75">
      <c r="B2">
        <v>0</v>
      </c>
      <c r="C2">
        <v>1</v>
      </c>
      <c r="D2">
        <v>2</v>
      </c>
      <c r="E2">
        <v>3</v>
      </c>
      <c r="F2">
        <v>4</v>
      </c>
    </row>
    <row r="3" spans="2:6" ht="12.75">
      <c r="B3" s="87">
        <f>+FLUJO_DE_CAJA_PROYECTO!C230</f>
        <v>-40110</v>
      </c>
      <c r="C3" s="87">
        <f>+FLUJO_DE_CAJA_PROYECTO!D230</f>
        <v>13272.976367209245</v>
      </c>
      <c r="D3" s="87">
        <f>+FLUJO_DE_CAJA_PROYECTO!E230</f>
        <v>8544.394022064123</v>
      </c>
      <c r="E3" s="87">
        <f>+FLUJO_DE_CAJA_PROYECTO!F230</f>
        <v>1157.9142553980405</v>
      </c>
      <c r="F3" s="87">
        <f>+FLUJO_DE_CAJA_PROYECTO!G230</f>
        <v>122382.42085531412</v>
      </c>
    </row>
    <row r="4" spans="3:6" ht="12.75">
      <c r="C4" s="117">
        <f>+FLUJO_DE_CAJA_PROYECTO!D27</f>
        <v>0.2932000000000001</v>
      </c>
      <c r="D4" s="117">
        <f>+FLUJO_DE_CAJA_PROYECTO!E27</f>
        <v>0.30380000000000007</v>
      </c>
      <c r="E4" s="117">
        <f>+FLUJO_DE_CAJA_PROYECTO!F27</f>
        <v>0.28259999999999996</v>
      </c>
      <c r="F4" s="117">
        <f>+FLUJO_DE_CAJA_PROYECTO!G27</f>
        <v>0.272</v>
      </c>
    </row>
    <row r="5" spans="2:7" ht="12.75">
      <c r="B5">
        <v>1</v>
      </c>
      <c r="C5" s="112">
        <f>1/(1+C4)</f>
        <v>0.7732755954222084</v>
      </c>
      <c r="D5" s="112">
        <f>+C5/(1+D4)</f>
        <v>0.593093722520485</v>
      </c>
      <c r="E5" s="112">
        <f>+D5/(1+E4)</f>
        <v>0.4624151898647162</v>
      </c>
      <c r="F5" s="112">
        <f>+E5/(1+F4)</f>
        <v>0.36353395429616053</v>
      </c>
      <c r="G5" s="112" t="s">
        <v>292</v>
      </c>
    </row>
    <row r="6" spans="7:18" ht="12.75">
      <c r="G6" s="116"/>
      <c r="R6" s="113"/>
    </row>
    <row r="7" spans="2:18" ht="12.75">
      <c r="B7" t="s">
        <v>303</v>
      </c>
      <c r="G7" s="116"/>
      <c r="R7" s="113"/>
    </row>
    <row r="9" spans="1:10" ht="38.25">
      <c r="A9" t="s">
        <v>312</v>
      </c>
      <c r="B9" s="96" t="s">
        <v>212</v>
      </c>
      <c r="C9" s="96" t="s">
        <v>301</v>
      </c>
      <c r="D9" s="96" t="s">
        <v>304</v>
      </c>
      <c r="E9" s="96" t="s">
        <v>305</v>
      </c>
      <c r="F9" s="96" t="s">
        <v>306</v>
      </c>
      <c r="G9" s="96" t="s">
        <v>304</v>
      </c>
      <c r="I9" s="96"/>
      <c r="J9" s="96"/>
    </row>
    <row r="10" spans="1:10" ht="12.75">
      <c r="A10">
        <v>0</v>
      </c>
      <c r="B10" s="116"/>
      <c r="C10" s="116"/>
      <c r="D10" s="116"/>
      <c r="E10" s="116"/>
      <c r="F10" s="116"/>
      <c r="G10" s="116"/>
      <c r="I10" s="118"/>
      <c r="J10" s="113"/>
    </row>
    <row r="11" spans="1:10" ht="12.75">
      <c r="A11">
        <v>1</v>
      </c>
      <c r="B11" s="113">
        <f>+C3</f>
        <v>13272.976367209245</v>
      </c>
      <c r="C11" s="113">
        <v>13300</v>
      </c>
      <c r="D11" s="113" t="str">
        <f>IF(C11&gt;=B11,"OK","MAL")</f>
        <v>OK</v>
      </c>
      <c r="E11" s="119">
        <f>+C4</f>
        <v>0.2932000000000001</v>
      </c>
      <c r="F11" s="119">
        <v>0.39</v>
      </c>
      <c r="G11" s="113" t="str">
        <f>IF(F11&gt;E11,"MAL","OK")</f>
        <v>MAL</v>
      </c>
      <c r="I11" s="87"/>
      <c r="J11" s="113"/>
    </row>
    <row r="12" spans="1:10" ht="12.75">
      <c r="A12">
        <v>2</v>
      </c>
      <c r="B12" s="113">
        <f>+D3</f>
        <v>8544.394022064123</v>
      </c>
      <c r="C12" s="113">
        <v>8900</v>
      </c>
      <c r="D12" s="113" t="str">
        <f>IF(C12&gt;=B12,"OK","MAL")</f>
        <v>OK</v>
      </c>
      <c r="E12" s="119">
        <f>+D4</f>
        <v>0.30380000000000007</v>
      </c>
      <c r="F12" s="119">
        <v>0.398</v>
      </c>
      <c r="G12" s="113" t="str">
        <f>IF(F12&gt;E12,"MAL","OK")</f>
        <v>MAL</v>
      </c>
      <c r="I12" s="118"/>
      <c r="J12" s="113"/>
    </row>
    <row r="13" spans="1:10" ht="12.75">
      <c r="A13">
        <v>3</v>
      </c>
      <c r="B13" s="113">
        <f>+E3</f>
        <v>1157.9142553980405</v>
      </c>
      <c r="C13" s="113">
        <v>1100</v>
      </c>
      <c r="D13" s="113" t="str">
        <f>IF(C13&gt;=B13,"OK","MAL")</f>
        <v>MAL</v>
      </c>
      <c r="E13" s="119">
        <f>+E4</f>
        <v>0.28259999999999996</v>
      </c>
      <c r="F13" s="119">
        <v>0.34</v>
      </c>
      <c r="G13" s="113" t="str">
        <f>IF(F13&gt;E13,"MAL","OK")</f>
        <v>MAL</v>
      </c>
      <c r="I13" s="118"/>
      <c r="J13" s="113"/>
    </row>
    <row r="14" spans="1:10" ht="12.75">
      <c r="A14">
        <v>4</v>
      </c>
      <c r="B14" s="113">
        <f>+F3</f>
        <v>122382.42085531412</v>
      </c>
      <c r="C14" s="113">
        <v>153000</v>
      </c>
      <c r="D14" s="113" t="str">
        <f>IF(C14&gt;=B14,"OK","MAL")</f>
        <v>OK</v>
      </c>
      <c r="E14" s="119">
        <f>+F4</f>
        <v>0.272</v>
      </c>
      <c r="F14" s="119">
        <v>0.33</v>
      </c>
      <c r="G14" s="113" t="str">
        <f>IF(F14&gt;E14,"MAL","OK")</f>
        <v>MAL</v>
      </c>
      <c r="I14" s="118"/>
      <c r="J14" s="113"/>
    </row>
    <row r="15" ht="12.75">
      <c r="F15" s="116">
        <f>+F14*F8</f>
        <v>0</v>
      </c>
    </row>
    <row r="16" ht="12.75">
      <c r="C16" t="s">
        <v>293</v>
      </c>
    </row>
    <row r="18" ht="12.75">
      <c r="B18" t="s">
        <v>307</v>
      </c>
    </row>
    <row r="20" spans="1:13" ht="63.75">
      <c r="A20" t="s">
        <v>312</v>
      </c>
      <c r="B20" s="96" t="s">
        <v>289</v>
      </c>
      <c r="C20" s="96" t="s">
        <v>310</v>
      </c>
      <c r="D20" s="96" t="s">
        <v>296</v>
      </c>
      <c r="E20" s="96" t="s">
        <v>309</v>
      </c>
      <c r="F20" s="96" t="s">
        <v>300</v>
      </c>
      <c r="G20" s="96" t="s">
        <v>308</v>
      </c>
      <c r="H20" s="96" t="s">
        <v>297</v>
      </c>
      <c r="I20" s="96" t="s">
        <v>294</v>
      </c>
      <c r="J20" s="96"/>
      <c r="K20" s="96"/>
      <c r="L20" s="96"/>
      <c r="M20" s="96"/>
    </row>
    <row r="21" spans="1:13" ht="12.75">
      <c r="A21">
        <v>0</v>
      </c>
      <c r="B21" s="116"/>
      <c r="C21" s="116"/>
      <c r="D21" s="116"/>
      <c r="E21" s="116"/>
      <c r="F21" s="116">
        <f>+B3</f>
        <v>-40110</v>
      </c>
      <c r="H21" s="118" t="e">
        <f>+#REF!</f>
        <v>#REF!</v>
      </c>
      <c r="I21" s="113" t="e">
        <f>+F21*H21</f>
        <v>#REF!</v>
      </c>
      <c r="J21" s="113"/>
      <c r="K21" s="113"/>
      <c r="L21" s="113"/>
      <c r="M21" s="113"/>
    </row>
    <row r="22" spans="1:13" ht="12.75">
      <c r="A22">
        <v>1</v>
      </c>
      <c r="B22" s="113">
        <f>+F21</f>
        <v>-40110</v>
      </c>
      <c r="C22" s="113">
        <f>+G$21:G$65536*B$21:B$65536</f>
        <v>-15642.9</v>
      </c>
      <c r="D22" s="113">
        <f>+E$21:E$65536+C$21:C$65536</f>
        <v>-2342.8999999999996</v>
      </c>
      <c r="E22" s="113">
        <f>+C11</f>
        <v>13300</v>
      </c>
      <c r="F22" s="113">
        <f>+B22+D22</f>
        <v>-42452.9</v>
      </c>
      <c r="G22" s="119">
        <f>+F11</f>
        <v>0.39</v>
      </c>
      <c r="H22" s="87">
        <f>1/(1+G22)</f>
        <v>0.7194244604316546</v>
      </c>
      <c r="I22" s="113">
        <f>+F22*H22</f>
        <v>-30541.654676258993</v>
      </c>
      <c r="J22" s="119"/>
      <c r="K22" s="87"/>
      <c r="L22" s="87"/>
      <c r="M22" s="113"/>
    </row>
    <row r="23" spans="1:13" ht="12.75">
      <c r="A23">
        <v>2</v>
      </c>
      <c r="B23" s="113">
        <f>+F22</f>
        <v>-42452.9</v>
      </c>
      <c r="C23" s="113">
        <f>+G$21:G$65536*B$21:B$65536</f>
        <v>-16896.254200000003</v>
      </c>
      <c r="D23" s="113">
        <f>+E$21:E$65536+C$21:C$65536</f>
        <v>-7996.254200000003</v>
      </c>
      <c r="E23" s="113">
        <f>+C12</f>
        <v>8900</v>
      </c>
      <c r="F23" s="113">
        <f>+B23+D23</f>
        <v>-50449.154200000004</v>
      </c>
      <c r="G23" s="119">
        <f>+F12</f>
        <v>0.398</v>
      </c>
      <c r="H23" s="118">
        <f>+H22/(1+G23)</f>
        <v>0.5146097714103395</v>
      </c>
      <c r="I23" s="113">
        <f>+F23*H23</f>
        <v>-25961.62771070697</v>
      </c>
      <c r="J23" s="119"/>
      <c r="K23" s="118"/>
      <c r="L23" s="87"/>
      <c r="M23" s="113"/>
    </row>
    <row r="24" spans="1:13" ht="12.75">
      <c r="A24">
        <v>3</v>
      </c>
      <c r="B24" s="113">
        <f>+F23</f>
        <v>-50449.154200000004</v>
      </c>
      <c r="C24" s="113">
        <f>+G$21:G$65536*B$21:B$65536</f>
        <v>-17152.712428000003</v>
      </c>
      <c r="D24" s="113">
        <f>+E$21:E$65536+C$21:C$65536</f>
        <v>-16052.712428000003</v>
      </c>
      <c r="E24" s="113">
        <f>+C13</f>
        <v>1100</v>
      </c>
      <c r="F24" s="113">
        <f>+B24+D24</f>
        <v>-66501.866628</v>
      </c>
      <c r="G24" s="119">
        <f>+F13</f>
        <v>0.34</v>
      </c>
      <c r="H24" s="118">
        <f>+H23/(1+G24)</f>
        <v>0.3840371428435369</v>
      </c>
      <c r="I24" s="113">
        <f>+F24*H24</f>
        <v>-25539.186853579078</v>
      </c>
      <c r="J24" s="119"/>
      <c r="K24" s="118"/>
      <c r="L24" s="87"/>
      <c r="M24" s="113"/>
    </row>
    <row r="25" spans="1:13" ht="12.75">
      <c r="A25">
        <v>4</v>
      </c>
      <c r="B25" s="113">
        <f>+F24</f>
        <v>-66501.866628</v>
      </c>
      <c r="C25" s="113">
        <f>+G$21:G$65536*B$21:B$65536</f>
        <v>-21945.615987240002</v>
      </c>
      <c r="D25" s="113">
        <f>+E$21:E$65536+C$21:C$65536</f>
        <v>131054.38401276</v>
      </c>
      <c r="E25" s="113">
        <f>+C14</f>
        <v>153000</v>
      </c>
      <c r="F25" s="113">
        <f>+B25+D25</f>
        <v>64552.517384759994</v>
      </c>
      <c r="G25" s="119">
        <f>+F14</f>
        <v>0.33</v>
      </c>
      <c r="H25" s="118">
        <f>+H24/(1+G25)</f>
        <v>0.28874973146130595</v>
      </c>
      <c r="I25" s="113">
        <f>+F25*H25</f>
        <v>18639.52206000073</v>
      </c>
      <c r="J25" s="119"/>
      <c r="K25" s="118"/>
      <c r="L25" s="87"/>
      <c r="M25" s="113"/>
    </row>
    <row r="27" ht="12.75">
      <c r="B27" t="s">
        <v>311</v>
      </c>
    </row>
    <row r="28" spans="1:4" ht="12.75">
      <c r="A28" t="s">
        <v>312</v>
      </c>
      <c r="C28" t="s">
        <v>301</v>
      </c>
      <c r="D28" t="s">
        <v>308</v>
      </c>
    </row>
    <row r="29" spans="1:6" ht="63.75">
      <c r="A29">
        <v>0</v>
      </c>
      <c r="B29" s="115">
        <f>-F21</f>
        <v>40110</v>
      </c>
      <c r="E29" t="s">
        <v>296</v>
      </c>
      <c r="F29" s="96" t="s">
        <v>300</v>
      </c>
    </row>
    <row r="30" spans="1:6" ht="12.75">
      <c r="A30">
        <v>1</v>
      </c>
      <c r="C30" s="109">
        <f>+E22</f>
        <v>13300</v>
      </c>
      <c r="D30" s="119">
        <f>+G22</f>
        <v>0.39</v>
      </c>
      <c r="E30" s="109">
        <f>+C30-D30*($B$29-SUM(E29))</f>
        <v>-2342.8999999999996</v>
      </c>
      <c r="F30" s="109">
        <f>-B29+E30</f>
        <v>-42452.9</v>
      </c>
    </row>
    <row r="31" spans="1:6" ht="12.75">
      <c r="A31">
        <v>2</v>
      </c>
      <c r="C31" s="109">
        <f>+E23</f>
        <v>8900</v>
      </c>
      <c r="D31" s="119">
        <f>+G23</f>
        <v>0.398</v>
      </c>
      <c r="E31" s="109">
        <f>+C31-D31*($B$29-SUM($E$29:E30))</f>
        <v>-7996.254200000003</v>
      </c>
      <c r="F31" s="109">
        <f>+E31+F30</f>
        <v>-50449.154200000004</v>
      </c>
    </row>
    <row r="32" spans="1:6" ht="12.75">
      <c r="A32">
        <v>3</v>
      </c>
      <c r="C32" s="109">
        <f>+E24</f>
        <v>1100</v>
      </c>
      <c r="D32" s="119">
        <f>+G24</f>
        <v>0.34</v>
      </c>
      <c r="E32" s="109">
        <f>+C32-D32*($B$29-SUM($E$29:E31))</f>
        <v>-16052.712428000003</v>
      </c>
      <c r="F32" s="109">
        <f>+E32+F31</f>
        <v>-66501.866628</v>
      </c>
    </row>
    <row r="33" spans="1:6" ht="12.75">
      <c r="A33">
        <v>4</v>
      </c>
      <c r="C33" s="109">
        <f>+E25</f>
        <v>153000</v>
      </c>
      <c r="D33" s="119">
        <f>+G25</f>
        <v>0.33</v>
      </c>
      <c r="E33" s="109">
        <f>+C33-D33*($B$29-SUM($E$29:E32))</f>
        <v>131054.38401276</v>
      </c>
      <c r="F33" s="109">
        <f>+E33+F32</f>
        <v>64552.517384759994</v>
      </c>
    </row>
    <row r="35" ht="12.75">
      <c r="A35" t="s">
        <v>313</v>
      </c>
    </row>
    <row r="36" spans="1:4" ht="76.5">
      <c r="A36" t="s">
        <v>312</v>
      </c>
      <c r="B36" t="s">
        <v>314</v>
      </c>
      <c r="C36" s="96" t="s">
        <v>302</v>
      </c>
      <c r="D36" t="s">
        <v>304</v>
      </c>
    </row>
    <row r="37" spans="1:3" ht="12.75">
      <c r="A37">
        <v>0</v>
      </c>
      <c r="C37" s="109"/>
    </row>
    <row r="38" spans="1:4" ht="12.75">
      <c r="A38">
        <v>1</v>
      </c>
      <c r="B38" s="115">
        <f>+E30</f>
        <v>-2342.8999999999996</v>
      </c>
      <c r="C38" s="113">
        <f>+'amortizac proyecto'!D7</f>
        <v>1512.7243672092409</v>
      </c>
      <c r="D38" t="str">
        <f>IF(B38&gt;=C38,"BIEN","MAL")</f>
        <v>MAL</v>
      </c>
    </row>
    <row r="39" spans="1:4" ht="12.75">
      <c r="A39">
        <v>2</v>
      </c>
      <c r="B39" s="115">
        <f>+E31</f>
        <v>-7996.254200000003</v>
      </c>
      <c r="C39" s="113">
        <f>+'amortizac proyecto'!D8</f>
        <v>-3181.458315266971</v>
      </c>
      <c r="D39" t="str">
        <f>IF(B39&gt;=C39,"BIEN","MAL")</f>
        <v>MAL</v>
      </c>
    </row>
    <row r="40" spans="1:4" ht="12.75">
      <c r="A40">
        <v>3</v>
      </c>
      <c r="B40" s="115">
        <f>+E32</f>
        <v>-16052.712428000003</v>
      </c>
      <c r="C40" s="113">
        <f>+'amortizac proyecto'!D9</f>
        <v>-10648.7559583007</v>
      </c>
      <c r="D40" t="str">
        <f>IF(B40&gt;=C40,"BIEN","MAL")</f>
        <v>MAL</v>
      </c>
    </row>
    <row r="41" spans="1:4" ht="12.75">
      <c r="A41">
        <v>4</v>
      </c>
      <c r="B41" s="115">
        <f>+E33</f>
        <v>131054.38401276</v>
      </c>
      <c r="C41" s="113">
        <f>+'amortizac proyecto'!D10</f>
        <v>108122.14359963598</v>
      </c>
      <c r="D41" t="str">
        <f>IF(B41&gt;=C41,"BIEN","MAL")</f>
        <v>BIEN</v>
      </c>
    </row>
    <row r="44" ht="12.75">
      <c r="A44" t="s">
        <v>315</v>
      </c>
    </row>
    <row r="46" spans="1:4" ht="12.75">
      <c r="A46" t="s">
        <v>312</v>
      </c>
      <c r="B46" t="str">
        <f>+'amortizac proyecto'!D14</f>
        <v>VPN A T</v>
      </c>
      <c r="C46" t="s">
        <v>318</v>
      </c>
      <c r="D46" t="s">
        <v>304</v>
      </c>
    </row>
    <row r="47" spans="1:2" ht="12.75">
      <c r="A47">
        <v>0</v>
      </c>
      <c r="B47">
        <f>+'amortizac proyecto'!D15</f>
        <v>-40110</v>
      </c>
    </row>
    <row r="48" spans="1:4" ht="12.75">
      <c r="A48">
        <v>1</v>
      </c>
      <c r="B48" s="114">
        <f>+'amortizac proyecto'!D16</f>
        <v>-29846.331296621367</v>
      </c>
      <c r="C48" s="114">
        <f>+I22</f>
        <v>-30541.654676258993</v>
      </c>
      <c r="D48" t="str">
        <f>IF(C48&gt;=B48,"BIEN","MAL")</f>
        <v>MAL</v>
      </c>
    </row>
    <row r="49" spans="1:4" ht="12.75">
      <c r="A49">
        <v>2</v>
      </c>
      <c r="B49" s="114">
        <f>+'amortizac proyecto'!D17</f>
        <v>-24778.704839446516</v>
      </c>
      <c r="C49" s="114">
        <f>+I23</f>
        <v>-25961.62771070697</v>
      </c>
      <c r="D49" t="str">
        <f>IF(C49&gt;=B49,"BIEN","MAL")</f>
        <v>MAL</v>
      </c>
    </row>
    <row r="50" spans="1:4" ht="12.75">
      <c r="A50">
        <v>3</v>
      </c>
      <c r="B50" s="114">
        <f>+'amortizac proyecto'!D18</f>
        <v>-24243.267699179225</v>
      </c>
      <c r="C50" s="114">
        <f>+I24</f>
        <v>-25539.186853579078</v>
      </c>
      <c r="D50" t="str">
        <f>IF(C50&gt;=B50,"BIEN","MAL")</f>
        <v>MAL</v>
      </c>
    </row>
    <row r="51" spans="1:4" ht="12.75">
      <c r="A51">
        <v>4</v>
      </c>
      <c r="B51" s="114">
        <f>+'amortizac proyecto'!D19</f>
        <v>20246.89769027245</v>
      </c>
      <c r="C51" s="114">
        <f>+I25</f>
        <v>18639.52206000073</v>
      </c>
      <c r="D51" t="str">
        <f>IF(C51&gt;=B51,"BIEN","MAL")</f>
        <v>MAL</v>
      </c>
    </row>
  </sheetData>
  <sheetProtection/>
  <hyperlinks>
    <hyperlink ref="A1" location="MENU!A1" display="MENU"/>
  </hyperlink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2:D17"/>
  <sheetViews>
    <sheetView tabSelected="1" zoomScale="75" zoomScaleNormal="75" zoomScalePageLayoutView="0" workbookViewId="0" topLeftCell="A1">
      <selection activeCell="B16" sqref="B16"/>
    </sheetView>
  </sheetViews>
  <sheetFormatPr defaultColWidth="11.421875" defaultRowHeight="12.75"/>
  <cols>
    <col min="2" max="2" width="71.00390625" style="0" bestFit="1" customWidth="1"/>
    <col min="3" max="3" width="20.421875" style="0" bestFit="1" customWidth="1"/>
    <col min="4" max="4" width="30.57421875" style="0" bestFit="1" customWidth="1"/>
  </cols>
  <sheetData>
    <row r="2" spans="2:3" ht="16.5">
      <c r="B2" s="123" t="s">
        <v>439</v>
      </c>
      <c r="C2" s="123"/>
    </row>
    <row r="3" spans="2:3" ht="16.5">
      <c r="B3" s="123" t="s">
        <v>441</v>
      </c>
      <c r="C3" s="123"/>
    </row>
    <row r="4" spans="2:3" ht="16.5">
      <c r="B4" s="124" t="s">
        <v>325</v>
      </c>
      <c r="C4" s="123"/>
    </row>
    <row r="5" spans="1:3" ht="16.5">
      <c r="A5" s="124"/>
      <c r="B5" s="124" t="s">
        <v>373</v>
      </c>
      <c r="C5" s="123"/>
    </row>
    <row r="6" spans="2:4" ht="16.5">
      <c r="B6" s="124" t="s">
        <v>428</v>
      </c>
      <c r="C6" s="123"/>
      <c r="D6" s="124"/>
    </row>
    <row r="7" spans="2:4" ht="16.5">
      <c r="B7" s="124" t="s">
        <v>421</v>
      </c>
      <c r="D7" s="124"/>
    </row>
    <row r="8" spans="2:4" ht="16.5">
      <c r="B8" s="124" t="s">
        <v>429</v>
      </c>
      <c r="C8" s="123"/>
      <c r="D8" s="124"/>
    </row>
    <row r="9" spans="2:4" ht="16.5">
      <c r="B9" s="124" t="s">
        <v>409</v>
      </c>
      <c r="C9" s="123"/>
      <c r="D9" s="124"/>
    </row>
    <row r="10" spans="2:3" ht="16.5">
      <c r="B10" s="124" t="s">
        <v>326</v>
      </c>
      <c r="C10" s="123"/>
    </row>
    <row r="11" spans="2:3" ht="16.5">
      <c r="B11" s="124" t="s">
        <v>327</v>
      </c>
      <c r="C11" s="123"/>
    </row>
    <row r="12" spans="2:3" ht="16.5">
      <c r="B12" s="124" t="s">
        <v>432</v>
      </c>
      <c r="C12" s="123"/>
    </row>
    <row r="13" spans="2:3" ht="16.5">
      <c r="B13" s="124" t="s">
        <v>433</v>
      </c>
      <c r="C13" s="123"/>
    </row>
    <row r="14" ht="12.75">
      <c r="B14" s="175" t="s">
        <v>500</v>
      </c>
    </row>
    <row r="15" spans="2:4" ht="15">
      <c r="B15" s="125" t="s">
        <v>339</v>
      </c>
      <c r="C15" s="121" t="s">
        <v>407</v>
      </c>
      <c r="D15" s="121" t="s">
        <v>438</v>
      </c>
    </row>
    <row r="16" ht="60">
      <c r="B16" s="144" t="s">
        <v>440</v>
      </c>
    </row>
    <row r="17" ht="30">
      <c r="B17" s="144" t="s">
        <v>408</v>
      </c>
    </row>
  </sheetData>
  <sheetProtection/>
  <hyperlinks>
    <hyperlink ref="B4" location="'Ejemplo resumido'!A1" display="'Ejemplo resumido'!A1"/>
    <hyperlink ref="B10" location="'amortizac proyecto'!A1" display="AMORTIZACION DE LA INVERSION EN EL PROYECTO"/>
    <hyperlink ref="B11" location="IRVA!A1" display="INVERSION RECUPERADA Y VALOR AGREGADO (IRVA)"/>
    <hyperlink ref="B12" location="UNALAVEZ" display="ANALISIS DE SENSIBILIDAD (UNA VARIABLE)"/>
    <hyperlink ref="D15" r:id="rId1" display="www.poligran.edu.co/decisiones"/>
    <hyperlink ref="B6" location="FLUJO_DE_CAJA_PROYECTO!A1" display="FLUJO DE CAJA DEL PROYECTO (FCL)"/>
    <hyperlink ref="B5" location="'AJUSTE POR INFLACION'!A1" display="'AJUSTE POR INFLACION'!A1"/>
    <hyperlink ref="C15" r:id="rId2" display="ivelez@poligran.edu.co"/>
    <hyperlink ref="B8" location="'FCL de PYG'!A1" display="Flujos de Caja a partir del PyG"/>
    <hyperlink ref="B9" location="EVA!A1" display="FLUJOS DE CAJA A PARTIR DEL PyG"/>
    <hyperlink ref="B7" location="'FCL DE PARTIDAS OPERATIVAS'!A1" display="FLUJO DE CAJA CON FT OPERATIVO"/>
    <hyperlink ref="B13" location="dosvariables" display="ANALISIS DE SENSIBILIDAD (DOS VARIABLES)"/>
    <hyperlink ref="B14" location="'FCL real'!A1" display="FCL real"/>
  </hyperlinks>
  <printOptions/>
  <pageMargins left="0.75" right="0.75" top="1" bottom="1" header="0" footer="0"/>
  <pageSetup horizontalDpi="300" verticalDpi="300" orientation="portrait" r:id="rId4"/>
  <legacyDrawing r:id="rId3"/>
</worksheet>
</file>

<file path=xl/worksheets/sheet3.xml><?xml version="1.0" encoding="utf-8"?>
<worksheet xmlns="http://schemas.openxmlformats.org/spreadsheetml/2006/main" xmlns:r="http://schemas.openxmlformats.org/officeDocument/2006/relationships">
  <sheetPr codeName="Hoja3"/>
  <dimension ref="A1:G113"/>
  <sheetViews>
    <sheetView showZeros="0"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4" sqref="A4"/>
    </sheetView>
  </sheetViews>
  <sheetFormatPr defaultColWidth="11.421875" defaultRowHeight="12.75"/>
  <cols>
    <col min="1" max="1" width="30.140625" style="0" customWidth="1"/>
    <col min="2" max="2" width="9.00390625" style="0" bestFit="1" customWidth="1"/>
    <col min="3" max="6" width="12.57421875" style="0" bestFit="1" customWidth="1"/>
  </cols>
  <sheetData>
    <row r="1" spans="1:5" ht="12.75">
      <c r="A1" t="str">
        <f>+FLUJO_DE_CAJA_PROYECTO!A1</f>
        <v>EVALUACION FINANCIERA DE LA CREACION DE UNA EMPRESA</v>
      </c>
      <c r="E1" s="134" t="s">
        <v>374</v>
      </c>
    </row>
    <row r="2" ht="12.75">
      <c r="A2" t="str">
        <f>+FLUJO_DE_CAJA_PROYECTO!A2</f>
        <v>SE PLANEA LA CREACION DE UNA EMPRESA Y SE CUENTA CON LOS SIGUIENTES ESTIMATIVOS</v>
      </c>
    </row>
    <row r="3" ht="12.75">
      <c r="A3" t="str">
        <f>+FLUJO_DE_CAJA_PROYECTO!A3</f>
        <v>Todas las referencias de capítulos se refieren al libro Decisiones de Inversión de Ignacio Vélez</v>
      </c>
    </row>
    <row r="4" spans="1:7" ht="12.75">
      <c r="A4" s="147" t="s">
        <v>328</v>
      </c>
      <c r="C4" t="str">
        <f>+FLUJO_DE_CAJA_PROYECTO!C4</f>
        <v>AÑO 0</v>
      </c>
      <c r="D4" t="str">
        <f>+FLUJO_DE_CAJA_PROYECTO!D4</f>
        <v>AÑO 1</v>
      </c>
      <c r="E4" t="str">
        <f>+FLUJO_DE_CAJA_PROYECTO!E4</f>
        <v>AÑO 2</v>
      </c>
      <c r="F4" t="str">
        <f>+FLUJO_DE_CAJA_PROYECTO!F4</f>
        <v>AÑO 3</v>
      </c>
      <c r="G4" t="str">
        <f>+FLUJO_DE_CAJA_PROYECTO!G4</f>
        <v>AÑO 4</v>
      </c>
    </row>
    <row r="5" spans="1:7" ht="12.75">
      <c r="A5" t="str">
        <f>+FLUJO_DE_CAJA_PROYECTO!A87</f>
        <v>BALANCE GENERAL</v>
      </c>
      <c r="B5">
        <f>+FLUJO_DE_CAJA_PROYECTO!B87</f>
        <v>0</v>
      </c>
      <c r="C5" s="94"/>
      <c r="D5" s="94"/>
      <c r="E5" s="94"/>
      <c r="F5" s="94"/>
      <c r="G5" s="94"/>
    </row>
    <row r="6" spans="1:7" ht="12.75">
      <c r="A6">
        <f>+FLUJO_DE_CAJA_PROYECTO!A88</f>
        <v>0</v>
      </c>
      <c r="B6">
        <f>+FLUJO_DE_CAJA_PROYECTO!B88</f>
        <v>0</v>
      </c>
      <c r="C6" s="94"/>
      <c r="D6" s="94"/>
      <c r="E6" s="94"/>
      <c r="F6" s="94"/>
      <c r="G6" s="94"/>
    </row>
    <row r="7" spans="1:7" ht="12.75">
      <c r="A7" t="str">
        <f>+FLUJO_DE_CAJA_PROYECTO!A89</f>
        <v>ACTIVO</v>
      </c>
      <c r="B7">
        <f>+FLUJO_DE_CAJA_PROYECTO!B89</f>
        <v>0</v>
      </c>
      <c r="C7" s="94"/>
      <c r="D7" s="94"/>
      <c r="E7" s="94"/>
      <c r="F7" s="94"/>
      <c r="G7" s="94"/>
    </row>
    <row r="8" spans="1:7" ht="12.75">
      <c r="A8">
        <f>+FLUJO_DE_CAJA_PROYECTO!A90</f>
        <v>0</v>
      </c>
      <c r="B8">
        <f>+FLUJO_DE_CAJA_PROYECTO!B90</f>
        <v>0</v>
      </c>
      <c r="C8" s="94"/>
      <c r="D8" s="94"/>
      <c r="E8" s="94"/>
      <c r="F8" s="94"/>
      <c r="G8" s="94"/>
    </row>
    <row r="9" spans="1:7" ht="12.75">
      <c r="A9" t="str">
        <f>+FLUJO_DE_CAJA_PROYECTO!A91</f>
        <v>CAJA Y BANCOS</v>
      </c>
      <c r="B9">
        <f>+FLUJO_DE_CAJA_PROYECTO!B91</f>
        <v>0</v>
      </c>
      <c r="C9" s="94">
        <f>+FLUJO_DE_CAJA_PROYECTO!C91</f>
        <v>110</v>
      </c>
      <c r="D9" s="94">
        <f>+FLUJO_DE_CAJA_PROYECTO!D91</f>
        <v>110</v>
      </c>
      <c r="E9" s="94">
        <f>+FLUJO_DE_CAJA_PROYECTO!E91</f>
        <v>121</v>
      </c>
      <c r="F9" s="94">
        <f>+FLUJO_DE_CAJA_PROYECTO!F91</f>
        <v>150</v>
      </c>
      <c r="G9" s="94">
        <f>+FLUJO_DE_CAJA_PROYECTO!G91</f>
        <v>150</v>
      </c>
    </row>
    <row r="10" spans="1:7" ht="12.75">
      <c r="A10" t="str">
        <f>+FLUJO_DE_CAJA_PROYECTO!A92</f>
        <v>CUENTAS POR COBRAR</v>
      </c>
      <c r="B10">
        <f>+FLUJO_DE_CAJA_PROYECTO!B92</f>
        <v>0</v>
      </c>
      <c r="C10" s="94">
        <f>+FLUJO_DE_CAJA_PROYECTO!C92</f>
        <v>0</v>
      </c>
      <c r="D10" s="94">
        <f>+FLUJO_DE_CAJA_PROYECTO!D92</f>
        <v>2525.903977540962</v>
      </c>
      <c r="E10" s="94">
        <f>+FLUJO_DE_CAJA_PROYECTO!E92</f>
        <v>3358.2909903739564</v>
      </c>
      <c r="F10" s="94">
        <f>+FLUJO_DE_CAJA_PROYECTO!F92</f>
        <v>4310.994347787811</v>
      </c>
      <c r="G10" s="94">
        <f>+FLUJO_DE_CAJA_PROYECTO!G92</f>
        <v>5408.409173630062</v>
      </c>
    </row>
    <row r="11" spans="1:7" ht="12.75">
      <c r="A11" t="str">
        <f>+FLUJO_DE_CAJA_PROYECTO!A93</f>
        <v>INVENTARIOS</v>
      </c>
      <c r="B11">
        <f>+FLUJO_DE_CAJA_PROYECTO!B93</f>
        <v>0</v>
      </c>
      <c r="C11" s="94">
        <f>+FLUJO_DE_CAJA_PROYECTO!C93</f>
        <v>0</v>
      </c>
      <c r="D11" s="94">
        <f>+FLUJO_DE_CAJA_PROYECTO!D93</f>
        <v>2052.3390950842363</v>
      </c>
      <c r="E11" s="94">
        <f>+FLUJO_DE_CAJA_PROYECTO!E93</f>
        <v>2735.33753020669</v>
      </c>
      <c r="F11" s="94">
        <f>+FLUJO_DE_CAJA_PROYECTO!F93</f>
        <v>3370.6327057402664</v>
      </c>
      <c r="G11" s="94">
        <f>+FLUJO_DE_CAJA_PROYECTO!G93</f>
        <v>4140.083186042437</v>
      </c>
    </row>
    <row r="12" spans="1:7" ht="12.75">
      <c r="A12" t="str">
        <f>+FLUJO_DE_CAJA_PROYECTO!A94</f>
        <v>INVERSIONES</v>
      </c>
      <c r="B12">
        <f>+FLUJO_DE_CAJA_PROYECTO!B94</f>
        <v>0</v>
      </c>
      <c r="C12" s="94">
        <f>+FLUJO_DE_CAJA_PROYECTO!C94</f>
        <v>0</v>
      </c>
      <c r="D12" s="94">
        <f>+FLUJO_DE_CAJA_PROYECTO!D94</f>
        <v>0</v>
      </c>
      <c r="E12" s="94">
        <f>+FLUJO_DE_CAJA_PROYECTO!E94</f>
        <v>8794.738310821078</v>
      </c>
      <c r="F12" s="94">
        <f>+FLUJO_DE_CAJA_PROYECTO!F94</f>
        <v>33253.43385301478</v>
      </c>
      <c r="G12" s="94">
        <f>+FLUJO_DE_CAJA_PROYECTO!G94</f>
        <v>65919.93932377815</v>
      </c>
    </row>
    <row r="13" spans="1:7" ht="12.75">
      <c r="A13" t="str">
        <f>+FLUJO_DE_CAJA_PROYECTO!A95</f>
        <v>INTERESES POR COBRAR</v>
      </c>
      <c r="B13">
        <f>+FLUJO_DE_CAJA_PROYECTO!B95</f>
        <v>0</v>
      </c>
      <c r="C13" s="94">
        <f>+FLUJO_DE_CAJA_PROYECTO!C95</f>
        <v>0</v>
      </c>
      <c r="D13" s="94">
        <f>+FLUJO_DE_CAJA_PROYECTO!D95</f>
        <v>0</v>
      </c>
      <c r="E13" s="94">
        <f>+FLUJO_DE_CAJA_PROYECTO!E95</f>
        <v>0</v>
      </c>
      <c r="F13" s="94">
        <f>+FLUJO_DE_CAJA_PROYECTO!F95</f>
        <v>5.299139047565404E-07</v>
      </c>
      <c r="G13" s="94">
        <f>+FLUJO_DE_CAJA_PROYECTO!G95</f>
        <v>1.1656891729217023E-05</v>
      </c>
    </row>
    <row r="14" spans="1:7" ht="12.75">
      <c r="A14" t="str">
        <f>+FLUJO_DE_CAJA_PROYECTO!A96</f>
        <v>ACTIVOS FIJOS</v>
      </c>
      <c r="B14">
        <f>+FLUJO_DE_CAJA_PROYECTO!B96</f>
        <v>0</v>
      </c>
      <c r="C14" s="94">
        <f>+FLUJO_DE_CAJA_PROYECTO!C96</f>
        <v>40000</v>
      </c>
      <c r="D14" s="94">
        <f>+FLUJO_DE_CAJA_PROYECTO!D96</f>
        <v>40000</v>
      </c>
      <c r="E14" s="94">
        <f>+FLUJO_DE_CAJA_PROYECTO!E96</f>
        <v>40000</v>
      </c>
      <c r="F14" s="94">
        <f>+FLUJO_DE_CAJA_PROYECTO!F96</f>
        <v>40000</v>
      </c>
      <c r="G14" s="94">
        <f>+FLUJO_DE_CAJA_PROYECTO!G96</f>
        <v>40000</v>
      </c>
    </row>
    <row r="15" spans="1:7" ht="12.75">
      <c r="A15" t="str">
        <f>+FLUJO_DE_CAJA_PROYECTO!A97</f>
        <v>DEPRECIACION ACUMULADA</v>
      </c>
      <c r="B15">
        <f>+FLUJO_DE_CAJA_PROYECTO!B97</f>
        <v>0</v>
      </c>
      <c r="C15" s="94">
        <f>+FLUJO_DE_CAJA_PROYECTO!C97</f>
        <v>0</v>
      </c>
      <c r="D15" s="94">
        <f>+FLUJO_DE_CAJA_PROYECTO!D97</f>
        <v>8000</v>
      </c>
      <c r="E15" s="94">
        <f>+FLUJO_DE_CAJA_PROYECTO!E97</f>
        <v>16000</v>
      </c>
      <c r="F15" s="94">
        <f>+FLUJO_DE_CAJA_PROYECTO!F97</f>
        <v>24000</v>
      </c>
      <c r="G15" s="94">
        <f>+FLUJO_DE_CAJA_PROYECTO!G97</f>
        <v>32000</v>
      </c>
    </row>
    <row r="16" spans="1:7" ht="12.75">
      <c r="A16" t="str">
        <f>+FLUJO_DE_CAJA_PROYECTO!A98</f>
        <v>ACTIVOS FIJOS NETOS</v>
      </c>
      <c r="B16">
        <f>+FLUJO_DE_CAJA_PROYECTO!B98</f>
        <v>0</v>
      </c>
      <c r="C16" s="94">
        <f>+FLUJO_DE_CAJA_PROYECTO!C98</f>
        <v>40000</v>
      </c>
      <c r="D16" s="94">
        <f>+FLUJO_DE_CAJA_PROYECTO!D98</f>
        <v>32000</v>
      </c>
      <c r="E16" s="94">
        <f>+FLUJO_DE_CAJA_PROYECTO!E98</f>
        <v>24000</v>
      </c>
      <c r="F16" s="94">
        <f>+FLUJO_DE_CAJA_PROYECTO!F98</f>
        <v>16000</v>
      </c>
      <c r="G16" s="94">
        <f>+FLUJO_DE_CAJA_PROYECTO!G98</f>
        <v>8000</v>
      </c>
    </row>
    <row r="17" spans="1:7" ht="12.75">
      <c r="A17">
        <f>+FLUJO_DE_CAJA_PROYECTO!A99</f>
        <v>0</v>
      </c>
      <c r="B17">
        <f>+FLUJO_DE_CAJA_PROYECTO!B99</f>
        <v>0</v>
      </c>
      <c r="C17" s="94">
        <f>+FLUJO_DE_CAJA_PROYECTO!C99</f>
        <v>0</v>
      </c>
      <c r="D17" s="94">
        <f>+FLUJO_DE_CAJA_PROYECTO!D99</f>
        <v>0</v>
      </c>
      <c r="E17" s="94">
        <f>+FLUJO_DE_CAJA_PROYECTO!E99</f>
        <v>0</v>
      </c>
      <c r="F17" s="94">
        <f>+FLUJO_DE_CAJA_PROYECTO!F99</f>
        <v>0</v>
      </c>
      <c r="G17" s="94">
        <f>+FLUJO_DE_CAJA_PROYECTO!G99</f>
        <v>0</v>
      </c>
    </row>
    <row r="18" spans="1:7" ht="12.75">
      <c r="A18" t="str">
        <f>+FLUJO_DE_CAJA_PROYECTO!A100</f>
        <v>TOTAL</v>
      </c>
      <c r="B18">
        <f>+FLUJO_DE_CAJA_PROYECTO!B100</f>
        <v>0</v>
      </c>
      <c r="C18" s="94">
        <f>+FLUJO_DE_CAJA_PROYECTO!C100</f>
        <v>40110</v>
      </c>
      <c r="D18" s="94">
        <f>+FLUJO_DE_CAJA_PROYECTO!D100</f>
        <v>36688.2430726252</v>
      </c>
      <c r="E18" s="94">
        <f>+FLUJO_DE_CAJA_PROYECTO!E100</f>
        <v>39009.36683140173</v>
      </c>
      <c r="F18" s="94">
        <f>+FLUJO_DE_CAJA_PROYECTO!F100</f>
        <v>57085.06090707277</v>
      </c>
      <c r="G18" s="94">
        <f>+FLUJO_DE_CAJA_PROYECTO!G100</f>
        <v>83618.43169510755</v>
      </c>
    </row>
    <row r="19" spans="2:7" ht="12.75">
      <c r="B19" s="87"/>
      <c r="C19" s="94"/>
      <c r="D19" s="94"/>
      <c r="E19" s="94"/>
      <c r="F19" s="94"/>
      <c r="G19" s="94"/>
    </row>
    <row r="20" spans="1:7" ht="12.75">
      <c r="A20" t="str">
        <f>+FLUJO_DE_CAJA_PROYECTO!A102</f>
        <v>PASIVO Y CAPITAL</v>
      </c>
      <c r="B20">
        <f>+FLUJO_DE_CAJA_PROYECTO!B102</f>
        <v>0</v>
      </c>
      <c r="C20" s="94">
        <f>+FLUJO_DE_CAJA_PROYECTO!C102</f>
        <v>0</v>
      </c>
      <c r="D20" s="94">
        <f>+FLUJO_DE_CAJA_PROYECTO!D102</f>
        <v>0</v>
      </c>
      <c r="E20" s="94">
        <f>+FLUJO_DE_CAJA_PROYECTO!E102</f>
        <v>0</v>
      </c>
      <c r="F20" s="94">
        <f>+FLUJO_DE_CAJA_PROYECTO!F102</f>
        <v>0</v>
      </c>
      <c r="G20" s="94">
        <f>+FLUJO_DE_CAJA_PROYECTO!G102</f>
        <v>0</v>
      </c>
    </row>
    <row r="21" spans="3:7" ht="12.75">
      <c r="C21" s="94"/>
      <c r="D21" s="94"/>
      <c r="E21" s="94"/>
      <c r="F21" s="94"/>
      <c r="G21" s="94"/>
    </row>
    <row r="23" spans="1:7" ht="12.75">
      <c r="A23" s="94" t="str">
        <f>+FLUJO_DE_CAJA_PROYECTO!A104</f>
        <v>CUENTAS POR PAGAR PROVEEDORES</v>
      </c>
      <c r="B23" s="94">
        <f>+FLUJO_DE_CAJA_PROYECTO!B104</f>
        <v>0</v>
      </c>
      <c r="C23" s="94">
        <f>+FLUJO_DE_CAJA_PROYECTO!C104</f>
        <v>0</v>
      </c>
      <c r="D23" s="94">
        <f>+FLUJO_DE_CAJA_PROYECTO!D104</f>
        <v>2668.0408236095063</v>
      </c>
      <c r="E23" s="94">
        <f>+FLUJO_DE_CAJA_PROYECTO!E104</f>
        <v>3298.769295645663</v>
      </c>
      <c r="F23" s="94">
        <f>+FLUJO_DE_CAJA_PROYECTO!F104</f>
        <v>4058.8560652416927</v>
      </c>
      <c r="G23" s="94">
        <f>+FLUJO_DE_CAJA_PROYECTO!G104</f>
        <v>4982.805346594774</v>
      </c>
    </row>
    <row r="24" spans="1:7" ht="12.75">
      <c r="A24" s="94" t="str">
        <f>+FLUJO_DE_CAJA_PROYECTO!A105</f>
        <v>CUENTAS POR PAGAR GASTOS GENERALES</v>
      </c>
      <c r="B24" s="94">
        <f>+FLUJO_DE_CAJA_PROYECTO!B105</f>
        <v>0</v>
      </c>
      <c r="C24" s="94">
        <f>+FLUJO_DE_CAJA_PROYECTO!C105</f>
        <v>0</v>
      </c>
      <c r="D24" s="94">
        <f>+FLUJO_DE_CAJA_PROYECTO!D105</f>
        <v>214.01999999999998</v>
      </c>
      <c r="E24" s="94">
        <f>+FLUJO_DE_CAJA_PROYECTO!E105</f>
        <v>265.3847999999998</v>
      </c>
      <c r="F24" s="94">
        <f>+FLUJO_DE_CAJA_PROYECTO!F105</f>
        <v>326.4233039999999</v>
      </c>
      <c r="G24" s="94">
        <f>+FLUJO_DE_CAJA_PROYECTO!G105</f>
        <v>401.5006639200001</v>
      </c>
    </row>
    <row r="25" spans="1:7" ht="12.75">
      <c r="A25" s="94" t="str">
        <f>+FLUJO_DE_CAJA_PROYECTO!A106</f>
        <v>PRESTACIONES SOCIALES POR PAGAR</v>
      </c>
      <c r="B25" s="94">
        <f>+FLUJO_DE_CAJA_PROYECTO!B106</f>
        <v>0</v>
      </c>
      <c r="C25" s="94">
        <f>+FLUJO_DE_CAJA_PROYECTO!C106</f>
        <v>0</v>
      </c>
      <c r="D25" s="94">
        <f>+FLUJO_DE_CAJA_PROYECTO!D106</f>
        <v>376.29519887704805</v>
      </c>
      <c r="E25" s="94">
        <f>+FLUJO_DE_CAJA_PROYECTO!E106</f>
        <v>475.4145495186975</v>
      </c>
      <c r="F25" s="94">
        <f>+FLUJO_DE_CAJA_PROYECTO!F106</f>
        <v>587.6247173893905</v>
      </c>
      <c r="G25" s="94">
        <f>+FLUJO_DE_CAJA_PROYECTO!G106</f>
        <v>720.6312086815024</v>
      </c>
    </row>
    <row r="26" spans="1:7" ht="12.75">
      <c r="A26" t="str">
        <f>+FLUJO_DE_CAJA_PROYECTO!A108</f>
        <v>IMPUESTOS POR PAGAR</v>
      </c>
      <c r="B26">
        <f>+FLUJO_DE_CAJA_PROYECTO!B108</f>
        <v>0</v>
      </c>
      <c r="C26" s="94">
        <f>+FLUJO_DE_CAJA_PROYECTO!C108</f>
        <v>0</v>
      </c>
      <c r="D26" s="94">
        <f>+FLUJO_DE_CAJA_PROYECTO!D108</f>
        <v>597.5028168398287</v>
      </c>
      <c r="E26" s="94">
        <f>+FLUJO_DE_CAJA_PROYECTO!E108</f>
        <v>3806.8918374715895</v>
      </c>
      <c r="F26" s="94">
        <f>+FLUJO_DE_CAJA_PROYECTO!F108</f>
        <v>8615.1361464044</v>
      </c>
      <c r="G26" s="94">
        <f>+FLUJO_DE_CAJA_PROYECTO!G108</f>
        <v>14371.515703352268</v>
      </c>
    </row>
    <row r="27" spans="1:7" ht="12.75">
      <c r="A27" t="str">
        <f>+FLUJO_DE_CAJA_PROYECTO!A109</f>
        <v>BANCOS</v>
      </c>
      <c r="B27">
        <f>+FLUJO_DE_CAJA_PROYECTO!B109</f>
        <v>0</v>
      </c>
      <c r="C27" s="94">
        <f>+FLUJO_DE_CAJA_PROYECTO!C109</f>
        <v>16110</v>
      </c>
      <c r="D27" s="94">
        <f>+FLUJO_DE_CAJA_PROYECTO!D109</f>
        <v>7836.5462052324365</v>
      </c>
      <c r="E27" s="94">
        <f>+FLUJO_DE_CAJA_PROYECTO!E109</f>
        <v>121</v>
      </c>
      <c r="F27" s="94">
        <f>+FLUJO_DE_CAJA_PROYECTO!F109</f>
        <v>0</v>
      </c>
      <c r="G27" s="94">
        <f>+FLUJO_DE_CAJA_PROYECTO!G109</f>
        <v>0</v>
      </c>
    </row>
    <row r="28" spans="1:7" ht="12.75">
      <c r="A28" t="str">
        <f>+FLUJO_DE_CAJA_PROYECTO!A110</f>
        <v>TOTAL PASIVOS</v>
      </c>
      <c r="B28">
        <f>+FLUJO_DE_CAJA_PROYECTO!B110</f>
        <v>0</v>
      </c>
      <c r="C28" s="94">
        <f>+FLUJO_DE_CAJA_PROYECTO!C110</f>
        <v>16110</v>
      </c>
      <c r="D28" s="94">
        <f>+FLUJO_DE_CAJA_PROYECTO!D110</f>
        <v>11692.405044558818</v>
      </c>
      <c r="E28" s="94">
        <f>+FLUJO_DE_CAJA_PROYECTO!E110</f>
        <v>7967.46048263595</v>
      </c>
      <c r="F28" s="94">
        <f>+FLUJO_DE_CAJA_PROYECTO!F110</f>
        <v>13588.040233035485</v>
      </c>
      <c r="G28" s="94">
        <f>+FLUJO_DE_CAJA_PROYECTO!G110</f>
        <v>20476.452922548546</v>
      </c>
    </row>
    <row r="29" spans="1:7" ht="12.75">
      <c r="A29" t="str">
        <f>+FLUJO_DE_CAJA_PROYECTO!A111</f>
        <v>CAPITAL</v>
      </c>
      <c r="B29">
        <f>+FLUJO_DE_CAJA_PROYECTO!B111</f>
        <v>0</v>
      </c>
      <c r="C29" s="94">
        <f>+FLUJO_DE_CAJA_PROYECTO!C111</f>
        <v>24000</v>
      </c>
      <c r="D29" s="94">
        <f>+FLUJO_DE_CAJA_PROYECTO!D111</f>
        <v>24000</v>
      </c>
      <c r="E29" s="94">
        <f>+FLUJO_DE_CAJA_PROYECTO!E111</f>
        <v>24000</v>
      </c>
      <c r="F29" s="94">
        <f>+FLUJO_DE_CAJA_PROYECTO!F111</f>
        <v>24000</v>
      </c>
      <c r="G29" s="94">
        <f>+FLUJO_DE_CAJA_PROYECTO!G111</f>
        <v>24000</v>
      </c>
    </row>
    <row r="30" spans="1:7" ht="12.75">
      <c r="A30" t="str">
        <f>+FLUJO_DE_CAJA_PROYECTO!A112</f>
        <v>UTILIDADES RETENIDAS</v>
      </c>
      <c r="B30">
        <f>+FLUJO_DE_CAJA_PROYECTO!B112</f>
        <v>0</v>
      </c>
      <c r="C30" s="94">
        <f>+FLUJO_DE_CAJA_PROYECTO!C112</f>
        <v>0</v>
      </c>
      <c r="D30" s="94">
        <f>+FLUJO_DE_CAJA_PROYECTO!D112</f>
        <v>0</v>
      </c>
      <c r="E30" s="94">
        <f>+FLUJO_DE_CAJA_PROYECTO!E112</f>
        <v>697.0866196464668</v>
      </c>
      <c r="F30" s="94">
        <f>+FLUJO_DE_CAJA_PROYECTO!F112</f>
        <v>5138.460430029987</v>
      </c>
      <c r="G30" s="94">
        <f>+FLUJO_DE_CAJA_PROYECTO!G112</f>
        <v>15189.452600835119</v>
      </c>
    </row>
    <row r="31" spans="1:7" ht="12.75">
      <c r="A31" t="str">
        <f>+FLUJO_DE_CAJA_PROYECTO!A113</f>
        <v>UTILIDADES DEL EJERCICIO</v>
      </c>
      <c r="B31">
        <f>+FLUJO_DE_CAJA_PROYECTO!B113</f>
        <v>0</v>
      </c>
      <c r="C31" s="94">
        <f>+FLUJO_DE_CAJA_PROYECTO!C113</f>
        <v>0</v>
      </c>
      <c r="D31" s="94">
        <f>+FLUJO_DE_CAJA_PROYECTO!D113</f>
        <v>995.8380280663812</v>
      </c>
      <c r="E31" s="94">
        <f>+FLUJO_DE_CAJA_PROYECTO!E113</f>
        <v>6344.8197291193155</v>
      </c>
      <c r="F31" s="94">
        <f>+FLUJO_DE_CAJA_PROYECTO!F113</f>
        <v>14358.560244007333</v>
      </c>
      <c r="G31" s="94">
        <f>+FLUJO_DE_CAJA_PROYECTO!G113</f>
        <v>23952.526172253783</v>
      </c>
    </row>
    <row r="32" spans="3:7" ht="12.75">
      <c r="C32" s="94"/>
      <c r="D32" s="94"/>
      <c r="E32" s="94"/>
      <c r="F32" s="94"/>
      <c r="G32" s="94"/>
    </row>
    <row r="33" spans="1:7" ht="12.75">
      <c r="A33" t="str">
        <f>+FLUJO_DE_CAJA_PROYECTO!A115</f>
        <v>TOTAL</v>
      </c>
      <c r="B33">
        <f>+FLUJO_DE_CAJA_PROYECTO!B115</f>
        <v>0</v>
      </c>
      <c r="C33" s="94">
        <f>+FLUJO_DE_CAJA_PROYECTO!C115</f>
        <v>40110</v>
      </c>
      <c r="D33" s="94">
        <f>+FLUJO_DE_CAJA_PROYECTO!D115</f>
        <v>36688.243072625206</v>
      </c>
      <c r="E33" s="94">
        <f>+FLUJO_DE_CAJA_PROYECTO!E115</f>
        <v>39009.366831401734</v>
      </c>
      <c r="F33" s="94">
        <f>+FLUJO_DE_CAJA_PROYECTO!F115</f>
        <v>57085.060907072795</v>
      </c>
      <c r="G33" s="94">
        <f>+FLUJO_DE_CAJA_PROYECTO!G115</f>
        <v>83618.43169563745</v>
      </c>
    </row>
    <row r="34" spans="3:7" ht="12.75">
      <c r="C34" s="94"/>
      <c r="D34" s="94"/>
      <c r="E34" s="94"/>
      <c r="F34" s="94"/>
      <c r="G34" s="94"/>
    </row>
    <row r="35" spans="1:7" ht="12.75">
      <c r="A35" t="str">
        <f>+FLUJO_DE_CAJA_PROYECTO!A117</f>
        <v>ESTADO DE PERDIDAS Y GANANCIAS PROYECTADO</v>
      </c>
      <c r="B35">
        <f>+FLUJO_DE_CAJA_PROYECTO!B117</f>
        <v>0</v>
      </c>
      <c r="C35" s="94">
        <f>+FLUJO_DE_CAJA_PROYECTO!C117</f>
        <v>0</v>
      </c>
      <c r="D35" s="94">
        <f>+FLUJO_DE_CAJA_PROYECTO!D117</f>
        <v>0</v>
      </c>
      <c r="E35" s="94">
        <f>+FLUJO_DE_CAJA_PROYECTO!E117</f>
        <v>0</v>
      </c>
      <c r="F35" s="94">
        <f>+FLUJO_DE_CAJA_PROYECTO!F117</f>
        <v>0</v>
      </c>
      <c r="G35" s="94">
        <f>+FLUJO_DE_CAJA_PROYECTO!G117</f>
        <v>0</v>
      </c>
    </row>
    <row r="36" spans="3:7" ht="12.75">
      <c r="C36" s="94"/>
      <c r="D36" s="94"/>
      <c r="E36" s="94"/>
      <c r="F36" s="94"/>
      <c r="G36" s="94"/>
    </row>
    <row r="37" spans="1:7" ht="12.75">
      <c r="A37" t="str">
        <f>+FLUJO_DE_CAJA_PROYECTO!A119</f>
        <v>VENTAS</v>
      </c>
      <c r="B37">
        <f>+FLUJO_DE_CAJA_PROYECTO!B119</f>
        <v>0</v>
      </c>
      <c r="C37" s="94">
        <f>+FLUJO_DE_CAJA_PROYECTO!C119</f>
        <v>0</v>
      </c>
      <c r="D37" s="94">
        <f>+FLUJO_DE_CAJA_PROYECTO!D119</f>
        <v>50518.07955081923</v>
      </c>
      <c r="E37" s="94">
        <f>+FLUJO_DE_CAJA_PROYECTO!E119</f>
        <v>67165.81980747901</v>
      </c>
      <c r="F37" s="94">
        <f>+FLUJO_DE_CAJA_PROYECTO!F119</f>
        <v>86219.88695575621</v>
      </c>
      <c r="G37" s="94">
        <f>+FLUJO_DE_CAJA_PROYECTO!G119</f>
        <v>108168.183472601</v>
      </c>
    </row>
    <row r="38" spans="3:7" ht="12.75">
      <c r="C38" s="94"/>
      <c r="D38" s="94"/>
      <c r="E38" s="94"/>
      <c r="F38" s="94"/>
      <c r="G38" s="94"/>
    </row>
    <row r="39" spans="1:7" ht="12.75">
      <c r="A39" t="str">
        <f>+FLUJO_DE_CAJA_PROYECTO!A121</f>
        <v>COSTO DE VENTAS</v>
      </c>
      <c r="B39">
        <f>+FLUJO_DE_CAJA_PROYECTO!B121</f>
        <v>0</v>
      </c>
      <c r="C39" s="94">
        <f>+FLUJO_DE_CAJA_PROYECTO!C121</f>
        <v>0</v>
      </c>
      <c r="D39" s="94">
        <f>+FLUJO_DE_CAJA_PROYECTO!D121</f>
        <v>24628.069141010837</v>
      </c>
      <c r="E39" s="94">
        <f>+FLUJO_DE_CAJA_PROYECTO!E121</f>
        <v>32304.69452133417</v>
      </c>
      <c r="F39" s="94">
        <f>+FLUJO_DE_CAJA_PROYECTO!F121</f>
        <v>39953.26547688336</v>
      </c>
      <c r="G39" s="94">
        <f>+FLUJO_DE_CAJA_PROYECTO!G121</f>
        <v>49058.602985645564</v>
      </c>
    </row>
    <row r="40" spans="1:7" ht="12.75">
      <c r="A40" t="str">
        <f>+FLUJO_DE_CAJA_PROYECTO!A127</f>
        <v>UTILIDAD BRUTA</v>
      </c>
      <c r="B40">
        <f>+FLUJO_DE_CAJA_PROYECTO!B127</f>
        <v>0</v>
      </c>
      <c r="C40" s="94">
        <f>+FLUJO_DE_CAJA_PROYECTO!C127</f>
        <v>0</v>
      </c>
      <c r="D40" s="94">
        <f>+FLUJO_DE_CAJA_PROYECTO!D127</f>
        <v>25890.010409808394</v>
      </c>
      <c r="E40" s="94">
        <f>+FLUJO_DE_CAJA_PROYECTO!E127</f>
        <v>34861.125286144845</v>
      </c>
      <c r="F40" s="94">
        <f>+FLUJO_DE_CAJA_PROYECTO!F127</f>
        <v>46266.621478872854</v>
      </c>
      <c r="G40" s="94">
        <f>+FLUJO_DE_CAJA_PROYECTO!G127</f>
        <v>59109.580486955434</v>
      </c>
    </row>
    <row r="41" spans="3:7" ht="12.75">
      <c r="C41" s="94"/>
      <c r="D41" s="94"/>
      <c r="E41" s="94"/>
      <c r="F41" s="94"/>
      <c r="G41" s="94"/>
    </row>
    <row r="42" spans="1:7" ht="12.75">
      <c r="A42" t="str">
        <f>+FLUJO_DE_CAJA_PROYECTO!A129</f>
        <v>GASTOS DE ADMON Y VENTAS</v>
      </c>
      <c r="B42">
        <f>+FLUJO_DE_CAJA_PROYECTO!B129</f>
        <v>0</v>
      </c>
      <c r="C42" s="94">
        <f>+FLUJO_DE_CAJA_PROYECTO!C129</f>
        <v>0</v>
      </c>
      <c r="D42" s="94">
        <f>+FLUJO_DE_CAJA_PROYECTO!D129</f>
        <v>19297.1469924605</v>
      </c>
      <c r="E42" s="94">
        <f>+FLUJO_DE_CAJA_PROYECTO!E129</f>
        <v>22304.496346565797</v>
      </c>
      <c r="F42" s="94">
        <f>+FLUJO_DE_CAJA_PROYECTO!F129</f>
        <v>25743.00578436496</v>
      </c>
      <c r="G42" s="94">
        <f>+FLUJO_DE_CAJA_PROYECTO!G129</f>
        <v>29830.47263180054</v>
      </c>
    </row>
    <row r="43" spans="3:7" ht="12.75">
      <c r="C43" s="94"/>
      <c r="D43" s="94"/>
      <c r="E43" s="94"/>
      <c r="F43" s="94"/>
      <c r="G43" s="94"/>
    </row>
    <row r="44" spans="1:7" ht="12.75">
      <c r="A44" t="str">
        <f>+FLUJO_DE_CAJA_PROYECTO!A136</f>
        <v>DEPRECIACION</v>
      </c>
      <c r="B44">
        <f>+FLUJO_DE_CAJA_PROYECTO!B136</f>
        <v>0</v>
      </c>
      <c r="C44" s="94">
        <f>+FLUJO_DE_CAJA_PROYECTO!C136</f>
        <v>0</v>
      </c>
      <c r="D44" s="94">
        <f>+FLUJO_DE_CAJA_PROYECTO!D136</f>
        <v>8000</v>
      </c>
      <c r="E44" s="94">
        <f>+FLUJO_DE_CAJA_PROYECTO!E136</f>
        <v>8000</v>
      </c>
      <c r="F44" s="94">
        <f>+FLUJO_DE_CAJA_PROYECTO!F136</f>
        <v>8000</v>
      </c>
      <c r="G44" s="94">
        <f>+FLUJO_DE_CAJA_PROYECTO!G136</f>
        <v>8000</v>
      </c>
    </row>
    <row r="45" spans="3:7" ht="12.75">
      <c r="C45" s="94"/>
      <c r="D45" s="94"/>
      <c r="E45" s="94"/>
      <c r="F45" s="94"/>
      <c r="G45" s="94"/>
    </row>
    <row r="46" spans="1:7" ht="12.75">
      <c r="A46" t="str">
        <f>+FLUJO_DE_CAJA_PROYECTO!A139</f>
        <v>UTILIDAD OPERACIONAL</v>
      </c>
      <c r="B46">
        <f>+FLUJO_DE_CAJA_PROYECTO!B139</f>
        <v>0</v>
      </c>
      <c r="C46" s="94">
        <f>+FLUJO_DE_CAJA_PROYECTO!C139</f>
        <v>0</v>
      </c>
      <c r="D46" s="94">
        <f>+FLUJO_DE_CAJA_PROYECTO!D139</f>
        <v>6592.863417347893</v>
      </c>
      <c r="E46" s="94">
        <f>+FLUJO_DE_CAJA_PROYECTO!E139</f>
        <v>12556.628939579048</v>
      </c>
      <c r="F46" s="94">
        <f>+FLUJO_DE_CAJA_PROYECTO!F139</f>
        <v>20523.615694507895</v>
      </c>
      <c r="G46" s="94">
        <f>+FLUJO_DE_CAJA_PROYECTO!G139</f>
        <v>29279.107855154893</v>
      </c>
    </row>
    <row r="47" spans="1:7" ht="12.75">
      <c r="A47" t="str">
        <f>+FLUJO_DE_CAJA_PROYECTO!A140</f>
        <v>OTROS INGRESOS</v>
      </c>
      <c r="B47">
        <f>+FLUJO_DE_CAJA_PROYECTO!B140</f>
        <v>0</v>
      </c>
      <c r="C47" s="94">
        <f>+FLUJO_DE_CAJA_PROYECTO!C140</f>
        <v>0</v>
      </c>
      <c r="D47" s="94">
        <f>+FLUJO_DE_CAJA_PROYECTO!D140</f>
        <v>0</v>
      </c>
      <c r="E47" s="94">
        <f>+FLUJO_DE_CAJA_PROYECTO!E140</f>
        <v>0</v>
      </c>
      <c r="F47" s="94">
        <f>+FLUJO_DE_CAJA_PROYECTO!F140</f>
        <v>2485.3930469290935</v>
      </c>
      <c r="G47" s="94">
        <f>+FLUJO_DE_CAJA_PROYECTO!G140</f>
        <v>9044.93400879427</v>
      </c>
    </row>
    <row r="48" spans="1:7" ht="12.75">
      <c r="A48" t="str">
        <f>+FLUJO_DE_CAJA_PROYECTO!A141</f>
        <v>GASTOS FINANCIEROS</v>
      </c>
      <c r="B48">
        <f>+FLUJO_DE_CAJA_PROYECTO!B141</f>
        <v>0</v>
      </c>
      <c r="C48" s="94">
        <f>+FLUJO_DE_CAJA_PROYECTO!C141</f>
        <v>0</v>
      </c>
      <c r="D48" s="94">
        <f>+FLUJO_DE_CAJA_PROYECTO!D141</f>
        <v>4999.522572557812</v>
      </c>
      <c r="E48" s="94">
        <f>+FLUJO_DE_CAJA_PROYECTO!E141</f>
        <v>2404.91737299495</v>
      </c>
      <c r="F48" s="94">
        <f>+FLUJO_DE_CAJA_PROYECTO!F141</f>
        <v>35.31235155471003</v>
      </c>
      <c r="G48" s="94">
        <f>+FLUJO_DE_CAJA_PROYECTO!G141</f>
        <v>0</v>
      </c>
    </row>
    <row r="49" spans="3:7" ht="12.75">
      <c r="C49" s="94"/>
      <c r="D49" s="94"/>
      <c r="E49" s="94"/>
      <c r="F49" s="94"/>
      <c r="G49" s="94"/>
    </row>
    <row r="50" spans="1:7" ht="12.75">
      <c r="A50" t="str">
        <f>+FLUJO_DE_CAJA_PROYECTO!A143</f>
        <v>UTILIDAD ANTES DE IMPUESTOS</v>
      </c>
      <c r="B50">
        <f>+FLUJO_DE_CAJA_PROYECTO!B143</f>
        <v>0</v>
      </c>
      <c r="C50" s="94">
        <f>+FLUJO_DE_CAJA_PROYECTO!C143</f>
        <v>0</v>
      </c>
      <c r="D50" s="94">
        <f>+FLUJO_DE_CAJA_PROYECTO!D143</f>
        <v>1593.340844790081</v>
      </c>
      <c r="E50" s="94">
        <f>+FLUJO_DE_CAJA_PROYECTO!E143</f>
        <v>10151.711566584097</v>
      </c>
      <c r="F50" s="94">
        <f>+FLUJO_DE_CAJA_PROYECTO!F143</f>
        <v>22973.69638988228</v>
      </c>
      <c r="G50" s="94">
        <f>+FLUJO_DE_CAJA_PROYECTO!G143</f>
        <v>38324.04186394916</v>
      </c>
    </row>
    <row r="51" spans="1:7" ht="12.75">
      <c r="A51" t="str">
        <f>+FLUJO_DE_CAJA_PROYECTO!A144</f>
        <v>PROVISION PARA IMPUESTOS</v>
      </c>
      <c r="B51">
        <f>+FLUJO_DE_CAJA_PROYECTO!B144</f>
        <v>0</v>
      </c>
      <c r="C51" s="94">
        <f>+FLUJO_DE_CAJA_PROYECTO!C144</f>
        <v>0</v>
      </c>
      <c r="D51" s="94">
        <f>+FLUJO_DE_CAJA_PROYECTO!D144</f>
        <v>597.5028167962804</v>
      </c>
      <c r="E51" s="94">
        <f>+FLUJO_DE_CAJA_PROYECTO!E144</f>
        <v>3806.8918374690365</v>
      </c>
      <c r="F51" s="94">
        <f>+FLUJO_DE_CAJA_PROYECTO!F144</f>
        <v>8615.136146205856</v>
      </c>
      <c r="G51" s="94">
        <f>+FLUJO_DE_CAJA_PROYECTO!G144</f>
        <v>14371.515698980937</v>
      </c>
    </row>
    <row r="52" spans="1:7" ht="12.75">
      <c r="A52" t="str">
        <f>+FLUJO_DE_CAJA_PROYECTO!A145</f>
        <v>UTILIDAD NETA</v>
      </c>
      <c r="B52">
        <f>+FLUJO_DE_CAJA_PROYECTO!B145</f>
        <v>0</v>
      </c>
      <c r="C52" s="94">
        <f>+FLUJO_DE_CAJA_PROYECTO!C145</f>
        <v>0</v>
      </c>
      <c r="D52" s="94">
        <f>+FLUJO_DE_CAJA_PROYECTO!D145</f>
        <v>995.8380279938007</v>
      </c>
      <c r="E52" s="94">
        <f>+FLUJO_DE_CAJA_PROYECTO!E145</f>
        <v>6344.819729115061</v>
      </c>
      <c r="F52" s="94">
        <f>+FLUJO_DE_CAJA_PROYECTO!F145</f>
        <v>14358.560243676424</v>
      </c>
      <c r="G52" s="94">
        <f>+FLUJO_DE_CAJA_PROYECTO!G145</f>
        <v>23952.526164968225</v>
      </c>
    </row>
    <row r="53" spans="3:7" ht="12.75">
      <c r="C53" s="94"/>
      <c r="D53" s="94"/>
      <c r="E53" s="94"/>
      <c r="F53" s="94"/>
      <c r="G53" s="94"/>
    </row>
    <row r="54" spans="1:7" ht="12.75">
      <c r="A54" t="str">
        <f>+FLUJO_DE_CAJA_PROYECTO!A147</f>
        <v>FLUJO DE TESORERIA</v>
      </c>
      <c r="B54">
        <f>+FLUJO_DE_CAJA_PROYECTO!B147</f>
        <v>0</v>
      </c>
      <c r="C54" s="94">
        <f>+FLUJO_DE_CAJA_PROYECTO!C147</f>
        <v>0</v>
      </c>
      <c r="D54" s="94">
        <f>+FLUJO_DE_CAJA_PROYECTO!D147</f>
        <v>0</v>
      </c>
      <c r="E54" s="94">
        <f>+FLUJO_DE_CAJA_PROYECTO!E147</f>
        <v>0</v>
      </c>
      <c r="F54" s="94">
        <f>+FLUJO_DE_CAJA_PROYECTO!F147</f>
        <v>0</v>
      </c>
      <c r="G54" s="94">
        <f>+FLUJO_DE_CAJA_PROYECTO!G147</f>
        <v>0</v>
      </c>
    </row>
    <row r="55" spans="3:7" ht="12.75">
      <c r="C55" s="94"/>
      <c r="D55" s="94"/>
      <c r="E55" s="94"/>
      <c r="F55" s="94"/>
      <c r="G55" s="94"/>
    </row>
    <row r="56" spans="1:7" ht="12.75">
      <c r="A56" t="str">
        <f>+FLUJO_DE_CAJA_PROYECTO!A149</f>
        <v>SALDO INICIAL</v>
      </c>
      <c r="B56">
        <f>+FLUJO_DE_CAJA_PROYECTO!B149</f>
        <v>0</v>
      </c>
      <c r="C56" s="94">
        <f>+FLUJO_DE_CAJA_PROYECTO!C149</f>
        <v>0</v>
      </c>
      <c r="D56" s="94">
        <f>+FLUJO_DE_CAJA_PROYECTO!D149</f>
        <v>110</v>
      </c>
      <c r="E56" s="94">
        <f>+FLUJO_DE_CAJA_PROYECTO!E149</f>
        <v>110</v>
      </c>
      <c r="F56" s="94">
        <f>+FLUJO_DE_CAJA_PROYECTO!F149</f>
        <v>121</v>
      </c>
      <c r="G56" s="94">
        <f>+FLUJO_DE_CAJA_PROYECTO!G149</f>
        <v>150</v>
      </c>
    </row>
    <row r="57" spans="1:7" ht="12.75">
      <c r="A57" t="str">
        <f>+FLUJO_DE_CAJA_PROYECTO!A150</f>
        <v>INGRESOS</v>
      </c>
      <c r="B57">
        <f>+FLUJO_DE_CAJA_PROYECTO!B150</f>
        <v>0</v>
      </c>
      <c r="C57" s="94">
        <f>+FLUJO_DE_CAJA_PROYECTO!C150</f>
        <v>0</v>
      </c>
      <c r="D57" s="94">
        <f>+FLUJO_DE_CAJA_PROYECTO!D150</f>
        <v>0</v>
      </c>
      <c r="E57" s="94">
        <f>+FLUJO_DE_CAJA_PROYECTO!E150</f>
        <v>0</v>
      </c>
      <c r="F57" s="94">
        <f>+FLUJO_DE_CAJA_PROYECTO!F150</f>
        <v>0</v>
      </c>
      <c r="G57" s="94">
        <f>+FLUJO_DE_CAJA_PROYECTO!G150</f>
        <v>0</v>
      </c>
    </row>
    <row r="58" spans="1:7" ht="12.75">
      <c r="A58" t="s">
        <v>179</v>
      </c>
      <c r="C58" s="94"/>
      <c r="D58" s="94">
        <f>+FLUJO_DE_CAJA_PROYECTO!D155</f>
        <v>47992.17557327827</v>
      </c>
      <c r="E58" s="94">
        <f>+FLUJO_DE_CAJA_PROYECTO!E155</f>
        <v>66333.43279464603</v>
      </c>
      <c r="F58" s="94">
        <f>+FLUJO_DE_CAJA_PROYECTO!F155</f>
        <v>85267.18359834235</v>
      </c>
      <c r="G58" s="94">
        <f>+FLUJO_DE_CAJA_PROYECTO!G155</f>
        <v>107070.76864675875</v>
      </c>
    </row>
    <row r="59" spans="1:7" ht="12.75">
      <c r="A59" t="str">
        <f>+FLUJO_DE_CAJA_PROYECTO!A157</f>
        <v>VENTA DE PAPELES DE BOLSA</v>
      </c>
      <c r="B59">
        <f>+FLUJO_DE_CAJA_PROYECTO!B157</f>
        <v>0</v>
      </c>
      <c r="C59" s="94">
        <f>+FLUJO_DE_CAJA_PROYECTO!C157</f>
        <v>0</v>
      </c>
      <c r="D59" s="94">
        <f>+FLUJO_DE_CAJA_PROYECTO!D157</f>
        <v>0</v>
      </c>
      <c r="E59" s="94">
        <f>+FLUJO_DE_CAJA_PROYECTO!E157</f>
        <v>0</v>
      </c>
      <c r="F59" s="94">
        <f>+FLUJO_DE_CAJA_PROYECTO!F157</f>
        <v>8794.738310821078</v>
      </c>
      <c r="G59" s="94">
        <f>+FLUJO_DE_CAJA_PROYECTO!G157</f>
        <v>33253.433854044706</v>
      </c>
    </row>
    <row r="60" spans="1:7" ht="12.75">
      <c r="A60" t="str">
        <f>+FLUJO_DE_CAJA_PROYECTO!A158</f>
        <v>RENDIMIENTOS DE INVERSIONES</v>
      </c>
      <c r="B60">
        <f>+FLUJO_DE_CAJA_PROYECTO!B158</f>
        <v>0</v>
      </c>
      <c r="C60" s="94">
        <f>+FLUJO_DE_CAJA_PROYECTO!C158</f>
        <v>0</v>
      </c>
      <c r="D60" s="94">
        <f>+FLUJO_DE_CAJA_PROYECTO!D158</f>
        <v>0</v>
      </c>
      <c r="E60" s="94">
        <f>+FLUJO_DE_CAJA_PROYECTO!E158</f>
        <v>0</v>
      </c>
      <c r="F60" s="94">
        <f>+FLUJO_DE_CAJA_PROYECTO!F158</f>
        <v>2485.393046638036</v>
      </c>
      <c r="G60" s="94">
        <f>+FLUJO_DE_CAJA_PROYECTO!G158</f>
        <v>9044.93400830016</v>
      </c>
    </row>
    <row r="61" spans="1:7" ht="12.75">
      <c r="A61" t="str">
        <f>+FLUJO_DE_CAJA_PROYECTO!A159</f>
        <v>APORTES DE CAPITAL EN EFECTIVO</v>
      </c>
      <c r="B61">
        <f>+FLUJO_DE_CAJA_PROYECTO!B159</f>
        <v>0</v>
      </c>
      <c r="C61" s="94">
        <f>+FLUJO_DE_CAJA_PROYECTO!C159</f>
        <v>24000</v>
      </c>
      <c r="D61" s="94">
        <f>+FLUJO_DE_CAJA_PROYECTO!D159</f>
        <v>0</v>
      </c>
      <c r="E61" s="94">
        <f>+FLUJO_DE_CAJA_PROYECTO!E159</f>
        <v>0</v>
      </c>
      <c r="F61" s="94">
        <f>+FLUJO_DE_CAJA_PROYECTO!F159</f>
        <v>0</v>
      </c>
      <c r="G61" s="94">
        <f>+FLUJO_DE_CAJA_PROYECTO!G159</f>
        <v>0</v>
      </c>
    </row>
    <row r="62" spans="1:7" ht="12.75">
      <c r="A62" t="str">
        <f>+FLUJO_DE_CAJA_PROYECTO!A160</f>
        <v>TOTAL INGRESOS</v>
      </c>
      <c r="B62">
        <f>+FLUJO_DE_CAJA_PROYECTO!B160</f>
        <v>0</v>
      </c>
      <c r="C62" s="94">
        <f>+FLUJO_DE_CAJA_PROYECTO!C160</f>
        <v>24000</v>
      </c>
      <c r="D62" s="94">
        <f>+FLUJO_DE_CAJA_PROYECTO!D160</f>
        <v>47992.17557327827</v>
      </c>
      <c r="E62" s="94">
        <f>+FLUJO_DE_CAJA_PROYECTO!E160</f>
        <v>66333.43279464603</v>
      </c>
      <c r="F62" s="94">
        <f>+FLUJO_DE_CAJA_PROYECTO!F160</f>
        <v>96547.31495580144</v>
      </c>
      <c r="G62" s="94">
        <f>+FLUJO_DE_CAJA_PROYECTO!G160</f>
        <v>149369.1365091036</v>
      </c>
    </row>
    <row r="63" spans="3:7" ht="12.75">
      <c r="C63" s="94"/>
      <c r="D63" s="94"/>
      <c r="E63" s="94"/>
      <c r="F63" s="94"/>
      <c r="G63" s="94"/>
    </row>
    <row r="64" spans="1:7" ht="12.75">
      <c r="A64" t="str">
        <f>+FLUJO_DE_CAJA_PROYECTO!A162</f>
        <v>EGRESOS</v>
      </c>
      <c r="B64">
        <f>+FLUJO_DE_CAJA_PROYECTO!B162</f>
        <v>0</v>
      </c>
      <c r="C64" s="94">
        <f>+FLUJO_DE_CAJA_PROYECTO!C162</f>
        <v>0</v>
      </c>
      <c r="D64" s="94">
        <f>+FLUJO_DE_CAJA_PROYECTO!D162</f>
        <v>0</v>
      </c>
      <c r="E64" s="94">
        <f>+FLUJO_DE_CAJA_PROYECTO!E162</f>
        <v>0</v>
      </c>
      <c r="F64" s="94">
        <f>+FLUJO_DE_CAJA_PROYECTO!F162</f>
        <v>0</v>
      </c>
      <c r="G64" s="94">
        <f>+FLUJO_DE_CAJA_PROYECTO!G162</f>
        <v>0</v>
      </c>
    </row>
    <row r="65" spans="3:7" ht="12.75">
      <c r="C65" s="94"/>
      <c r="D65" s="94"/>
      <c r="E65" s="94"/>
      <c r="F65" s="94"/>
      <c r="G65" s="94"/>
    </row>
    <row r="66" spans="1:7" ht="12.75">
      <c r="A66" t="str">
        <f>+FLUJO_DE_CAJA_PROYECTO!A164</f>
        <v>PROVEEDORES</v>
      </c>
      <c r="B66">
        <f>+FLUJO_DE_CAJA_PROYECTO!B164</f>
        <v>0</v>
      </c>
      <c r="C66" s="94">
        <f>+FLUJO_DE_CAJA_PROYECTO!C164</f>
        <v>0</v>
      </c>
      <c r="D66" s="94">
        <f>+FLUJO_DE_CAJA_PROYECTO!D169</f>
        <v>24012.367412485568</v>
      </c>
      <c r="E66" s="94">
        <f>+FLUJO_DE_CAJA_PROYECTO!E169</f>
        <v>32356.964484420467</v>
      </c>
      <c r="F66" s="94">
        <f>+FLUJO_DE_CAJA_PROYECTO!F169</f>
        <v>39828.47388282091</v>
      </c>
      <c r="G66" s="94">
        <f>+FLUJO_DE_CAJA_PROYECTO!G169</f>
        <v>48904.10418459465</v>
      </c>
    </row>
    <row r="67" spans="1:7" ht="12.75">
      <c r="A67" t="str">
        <f>+A42</f>
        <v>GASTOS DE ADMON Y VENTAS</v>
      </c>
      <c r="B67">
        <f>+B42</f>
        <v>0</v>
      </c>
      <c r="C67" s="94">
        <f>+C42</f>
        <v>0</v>
      </c>
      <c r="D67" s="94">
        <f>SUM(FLUJO_DE_CAJA_PROYECTO!D170:D178)</f>
        <v>10706.831793583455</v>
      </c>
      <c r="E67" s="94">
        <f>SUM(FLUJO_DE_CAJA_PROYECTO!E170:E178)</f>
        <v>14154.012195924146</v>
      </c>
      <c r="F67" s="94">
        <f>SUM(FLUJO_DE_CAJA_PROYECTO!F170:F178)</f>
        <v>17569.757112494266</v>
      </c>
      <c r="G67" s="94">
        <f>SUM(FLUJO_DE_CAJA_PROYECTO!G170:G178)</f>
        <v>21622.38878058843</v>
      </c>
    </row>
    <row r="68" spans="1:7" ht="12.75">
      <c r="A68" t="str">
        <f>+FLUJO_DE_CAJA_PROYECTO!A179</f>
        <v>COMPRA DE ACTIVOS</v>
      </c>
      <c r="B68">
        <f>+FLUJO_DE_CAJA_PROYECTO!B179</f>
        <v>0</v>
      </c>
      <c r="C68" s="94">
        <f>+FLUJO_DE_CAJA_PROYECTO!C179</f>
        <v>40000</v>
      </c>
      <c r="D68" s="94">
        <f>+FLUJO_DE_CAJA_PROYECTO!D179</f>
        <v>0</v>
      </c>
      <c r="E68" s="94">
        <f>+FLUJO_DE_CAJA_PROYECTO!E179</f>
        <v>0</v>
      </c>
      <c r="F68" s="94">
        <f>+FLUJO_DE_CAJA_PROYECTO!F179</f>
        <v>0</v>
      </c>
      <c r="G68" s="94">
        <f>+FLUJO_DE_CAJA_PROYECTO!G179</f>
        <v>0</v>
      </c>
    </row>
    <row r="69" spans="1:7" ht="12.75">
      <c r="A69" t="str">
        <f>+FLUJO_DE_CAJA_PROYECTO!A180</f>
        <v>PAGO DE INTERESES</v>
      </c>
      <c r="B69">
        <f>+FLUJO_DE_CAJA_PROYECTO!B180</f>
        <v>0</v>
      </c>
      <c r="C69" s="94">
        <f>+FLUJO_DE_CAJA_PROYECTO!C180</f>
        <v>0</v>
      </c>
      <c r="D69" s="94">
        <f>+FLUJO_DE_CAJA_PROYECTO!D180</f>
        <v>4999.522572557812</v>
      </c>
      <c r="E69" s="94">
        <f>+FLUJO_DE_CAJA_PROYECTO!E180</f>
        <v>2404.91737299495</v>
      </c>
      <c r="F69" s="94">
        <f>+FLUJO_DE_CAJA_PROYECTO!F180</f>
        <v>35.31235155471003</v>
      </c>
      <c r="G69" s="94">
        <f>+FLUJO_DE_CAJA_PROYECTO!G180</f>
        <v>0</v>
      </c>
    </row>
    <row r="70" spans="1:7" ht="12.75">
      <c r="A70" t="str">
        <f>+FLUJO_DE_CAJA_PROYECTO!A181</f>
        <v>UTILIDADES REPARTIDAS</v>
      </c>
      <c r="B70">
        <f>+FLUJO_DE_CAJA_PROYECTO!B181</f>
        <v>0</v>
      </c>
      <c r="C70" s="94">
        <f>+FLUJO_DE_CAJA_PROYECTO!C181</f>
        <v>0</v>
      </c>
      <c r="D70" s="94">
        <f>+FLUJO_DE_CAJA_PROYECTO!D181</f>
        <v>0</v>
      </c>
      <c r="E70" s="94">
        <f>+FLUJO_DE_CAJA_PROYECTO!E181</f>
        <v>298.7514083981402</v>
      </c>
      <c r="F70" s="94">
        <f>+FLUJO_DE_CAJA_PROYECTO!F181</f>
        <v>1903.4459187345183</v>
      </c>
      <c r="G70" s="94">
        <f>+FLUJO_DE_CAJA_PROYECTO!G181</f>
        <v>4307.568073102927</v>
      </c>
    </row>
    <row r="71" spans="1:7" ht="12.75">
      <c r="A71" t="str">
        <f>+FLUJO_DE_CAJA_PROYECTO!A183</f>
        <v>IMPUESTOS</v>
      </c>
      <c r="B71">
        <f>+FLUJO_DE_CAJA_PROYECTO!B183</f>
        <v>0</v>
      </c>
      <c r="C71" s="94">
        <f>+FLUJO_DE_CAJA_PROYECTO!C183</f>
        <v>0</v>
      </c>
      <c r="D71" s="94">
        <f>+FLUJO_DE_CAJA_PROYECTO!D183</f>
        <v>0</v>
      </c>
      <c r="E71" s="94">
        <f>+FLUJO_DE_CAJA_PROYECTO!E183</f>
        <v>597.5028167962804</v>
      </c>
      <c r="F71" s="94">
        <f>+FLUJO_DE_CAJA_PROYECTO!F183</f>
        <v>3806.8918374690365</v>
      </c>
      <c r="G71" s="94">
        <f>+FLUJO_DE_CAJA_PROYECTO!G183</f>
        <v>8615.136146205856</v>
      </c>
    </row>
    <row r="72" spans="3:7" ht="12.75">
      <c r="C72" s="94"/>
      <c r="D72" s="94"/>
      <c r="E72" s="94"/>
      <c r="F72" s="94"/>
      <c r="G72" s="94"/>
    </row>
    <row r="73" spans="1:7" ht="12.75">
      <c r="A73" t="str">
        <f>+FLUJO_DE_CAJA_PROYECTO!A185</f>
        <v>TOTAL EGRESOS</v>
      </c>
      <c r="B73">
        <f>+FLUJO_DE_CAJA_PROYECTO!B185</f>
        <v>0</v>
      </c>
      <c r="C73" s="94">
        <f>+FLUJO_DE_CAJA_PROYECTO!C185</f>
        <v>40000</v>
      </c>
      <c r="D73" s="94">
        <f>+FLUJO_DE_CAJA_PROYECTO!D185</f>
        <v>39718.72177862684</v>
      </c>
      <c r="E73" s="94">
        <f>+FLUJO_DE_CAJA_PROYECTO!E185</f>
        <v>49812.14827853398</v>
      </c>
      <c r="F73" s="94">
        <f>+FLUJO_DE_CAJA_PROYECTO!F185</f>
        <v>63143.881103073436</v>
      </c>
      <c r="G73" s="94">
        <f>+FLUJO_DE_CAJA_PROYECTO!G185</f>
        <v>83449.19718449184</v>
      </c>
    </row>
    <row r="74" spans="3:7" ht="12.75">
      <c r="C74" s="94"/>
      <c r="D74" s="94"/>
      <c r="E74" s="94"/>
      <c r="F74" s="94"/>
      <c r="G74" s="94"/>
    </row>
    <row r="75" spans="1:7" ht="12.75">
      <c r="A75" t="str">
        <f>+FLUJO_DE_CAJA_PROYECTO!A187</f>
        <v>SALDO DEL ANO</v>
      </c>
      <c r="B75">
        <f>+FLUJO_DE_CAJA_PROYECTO!B187</f>
        <v>0</v>
      </c>
      <c r="C75" s="94">
        <f>+FLUJO_DE_CAJA_PROYECTO!C187</f>
        <v>-16000</v>
      </c>
      <c r="D75" s="94">
        <f>+FLUJO_DE_CAJA_PROYECTO!D187</f>
        <v>8273.453794651432</v>
      </c>
      <c r="E75" s="94">
        <f>+FLUJO_DE_CAJA_PROYECTO!E187</f>
        <v>16521.284516112042</v>
      </c>
      <c r="F75" s="94">
        <f>+FLUJO_DE_CAJA_PROYECTO!F187</f>
        <v>33403.433852728005</v>
      </c>
      <c r="G75" s="94">
        <f>+FLUJO_DE_CAJA_PROYECTO!G187</f>
        <v>65919.93932461177</v>
      </c>
    </row>
    <row r="76" spans="1:7" ht="12.75">
      <c r="A76" t="str">
        <f>+FLUJO_DE_CAJA_PROYECTO!A188</f>
        <v>SALDO ACUMULADO</v>
      </c>
      <c r="B76">
        <f>+FLUJO_DE_CAJA_PROYECTO!B188</f>
        <v>0</v>
      </c>
      <c r="C76" s="94">
        <f>+FLUJO_DE_CAJA_PROYECTO!C188</f>
        <v>-16000</v>
      </c>
      <c r="D76" s="94">
        <f>+FLUJO_DE_CAJA_PROYECTO!D188</f>
        <v>8383.453794651432</v>
      </c>
      <c r="E76" s="94">
        <f>+FLUJO_DE_CAJA_PROYECTO!E188</f>
        <v>16631.284516112042</v>
      </c>
      <c r="F76" s="94">
        <f>+FLUJO_DE_CAJA_PROYECTO!F188</f>
        <v>33524.433852728005</v>
      </c>
      <c r="G76" s="94">
        <f>+FLUJO_DE_CAJA_PROYECTO!G188</f>
        <v>66069.93932461177</v>
      </c>
    </row>
    <row r="77" spans="1:7" ht="12.75">
      <c r="A77" t="str">
        <f>+FLUJO_DE_CAJA_PROYECTO!A189</f>
        <v>PRESTAMOS BANCARIOS</v>
      </c>
      <c r="B77">
        <f>+FLUJO_DE_CAJA_PROYECTO!B189</f>
        <v>0</v>
      </c>
      <c r="C77" s="94">
        <f>+FLUJO_DE_CAJA_PROYECTO!C189</f>
        <v>16110</v>
      </c>
      <c r="D77" s="94">
        <f>+FLUJO_DE_CAJA_PROYECTO!D189</f>
        <v>0</v>
      </c>
      <c r="E77" s="94">
        <f>+FLUJO_DE_CAJA_PROYECTO!E189</f>
        <v>0</v>
      </c>
      <c r="F77" s="94">
        <f>+FLUJO_DE_CAJA_PROYECTO!F189</f>
        <v>0</v>
      </c>
      <c r="G77" s="94">
        <f>+FLUJO_DE_CAJA_PROYECTO!G189</f>
        <v>0</v>
      </c>
    </row>
    <row r="78" spans="1:7" ht="12.75">
      <c r="A78" t="str">
        <f>+FLUJO_DE_CAJA_PROYECTO!A190</f>
        <v>AMORTIZACION DE PRESTAMOS</v>
      </c>
      <c r="B78">
        <f>+FLUJO_DE_CAJA_PROYECTO!B190</f>
        <v>0</v>
      </c>
      <c r="C78" s="94">
        <f>+FLUJO_DE_CAJA_PROYECTO!C190</f>
        <v>0</v>
      </c>
      <c r="D78" s="94">
        <f>+FLUJO_DE_CAJA_PROYECTO!D190</f>
        <v>8273.453794651432</v>
      </c>
      <c r="E78" s="94">
        <f>+FLUJO_DE_CAJA_PROYECTO!E190</f>
        <v>7715.546205348568</v>
      </c>
      <c r="F78" s="94">
        <f>+FLUJO_DE_CAJA_PROYECTO!F190</f>
        <v>121</v>
      </c>
      <c r="G78" s="94">
        <f>+FLUJO_DE_CAJA_PROYECTO!G190</f>
        <v>0</v>
      </c>
    </row>
    <row r="79" spans="1:7" ht="12.75">
      <c r="A79" t="str">
        <f>+FLUJO_DE_CAJA_PROYECTO!A191</f>
        <v>INVERSION EN PAPELES DE BOLSA</v>
      </c>
      <c r="B79">
        <f>+FLUJO_DE_CAJA_PROYECTO!B191</f>
        <v>0</v>
      </c>
      <c r="C79" s="94">
        <f>+FLUJO_DE_CAJA_PROYECTO!C191</f>
        <v>0</v>
      </c>
      <c r="D79" s="94">
        <f>+FLUJO_DE_CAJA_PROYECTO!D191</f>
        <v>0</v>
      </c>
      <c r="E79" s="94">
        <f>+FLUJO_DE_CAJA_PROYECTO!E191</f>
        <v>8794.738310763474</v>
      </c>
      <c r="F79" s="94">
        <f>+FLUJO_DE_CAJA_PROYECTO!F191</f>
        <v>33253.433852728005</v>
      </c>
      <c r="G79" s="94">
        <f>+FLUJO_DE_CAJA_PROYECTO!G191</f>
        <v>65919.93932461177</v>
      </c>
    </row>
    <row r="80" spans="1:7" ht="12.75">
      <c r="A80" t="str">
        <f>+FLUJO_DE_CAJA_PROYECTO!A192</f>
        <v>NUEVO SALDO DEL ANO</v>
      </c>
      <c r="B80">
        <f>+FLUJO_DE_CAJA_PROYECTO!B192</f>
        <v>0</v>
      </c>
      <c r="C80" s="94">
        <f>+FLUJO_DE_CAJA_PROYECTO!C192</f>
        <v>110</v>
      </c>
      <c r="D80" s="94">
        <f>+FLUJO_DE_CAJA_PROYECTO!D192</f>
        <v>0</v>
      </c>
      <c r="E80" s="94">
        <f>+FLUJO_DE_CAJA_PROYECTO!E192</f>
        <v>11</v>
      </c>
      <c r="F80" s="94">
        <f>+FLUJO_DE_CAJA_PROYECTO!F192</f>
        <v>29</v>
      </c>
      <c r="G80" s="94">
        <f>+FLUJO_DE_CAJA_PROYECTO!G192</f>
        <v>0</v>
      </c>
    </row>
    <row r="81" spans="3:7" ht="12.75">
      <c r="C81" s="94"/>
      <c r="D81" s="94"/>
      <c r="E81" s="94"/>
      <c r="F81" s="94"/>
      <c r="G81" s="94"/>
    </row>
    <row r="82" spans="1:7" ht="12.75">
      <c r="A82" t="str">
        <f>+FLUJO_DE_CAJA_PROYECTO!A194</f>
        <v>SALDO ACUMULADO</v>
      </c>
      <c r="B82">
        <f>+FLUJO_DE_CAJA_PROYECTO!B194</f>
        <v>0</v>
      </c>
      <c r="C82" s="94">
        <f>+FLUJO_DE_CAJA_PROYECTO!C194</f>
        <v>110</v>
      </c>
      <c r="D82" s="94">
        <f>+FLUJO_DE_CAJA_PROYECTO!D194</f>
        <v>110</v>
      </c>
      <c r="E82" s="94">
        <f>+FLUJO_DE_CAJA_PROYECTO!E194</f>
        <v>121</v>
      </c>
      <c r="F82" s="94">
        <f>+FLUJO_DE_CAJA_PROYECTO!F194</f>
        <v>150</v>
      </c>
      <c r="G82" s="94">
        <f>+FLUJO_DE_CAJA_PROYECTO!G194</f>
        <v>150</v>
      </c>
    </row>
    <row r="83" spans="1:7" ht="38.25">
      <c r="A83" s="96" t="str">
        <f>+FLUJO_DE_CAJA_PROYECTO!A200</f>
        <v>AHORA SE VA A CALCULAR EL FLUJO DE CAJA DEL PROYECTO. CON ESTE FLUJO</v>
      </c>
      <c r="B83">
        <f>+FLUJO_DE_CAJA_PROYECTO!B200</f>
        <v>0</v>
      </c>
      <c r="C83" s="94">
        <f>+FLUJO_DE_CAJA_PROYECTO!C200</f>
        <v>0</v>
      </c>
      <c r="D83" s="94">
        <f>+FLUJO_DE_CAJA_PROYECTO!D200</f>
        <v>0</v>
      </c>
      <c r="E83" s="94">
        <f>+FLUJO_DE_CAJA_PROYECTO!E200</f>
        <v>0</v>
      </c>
      <c r="F83" s="94">
        <f>+FLUJO_DE_CAJA_PROYECTO!F200</f>
        <v>0</v>
      </c>
      <c r="G83" s="94">
        <f>+FLUJO_DE_CAJA_PROYECTO!G200</f>
        <v>0</v>
      </c>
    </row>
    <row r="84" spans="1:7" ht="25.5">
      <c r="A84" s="96" t="str">
        <f>+FLUJO_DE_CAJA_PROYECTO!A201</f>
        <v>SE CALCULA EL VPN A LAS TASAS DE DESCUENTO. EL</v>
      </c>
      <c r="B84">
        <f>+FLUJO_DE_CAJA_PROYECTO!B201</f>
        <v>0</v>
      </c>
      <c r="C84" s="94">
        <f>+FLUJO_DE_CAJA_PROYECTO!C201</f>
        <v>0</v>
      </c>
      <c r="D84" s="94">
        <f>+FLUJO_DE_CAJA_PROYECTO!D201</f>
        <v>0</v>
      </c>
      <c r="E84" s="94">
        <f>+FLUJO_DE_CAJA_PROYECTO!E201</f>
        <v>0</v>
      </c>
      <c r="F84" s="94">
        <f>+FLUJO_DE_CAJA_PROYECTO!F201</f>
        <v>0</v>
      </c>
      <c r="G84" s="94">
        <f>+FLUJO_DE_CAJA_PROYECTO!G201</f>
        <v>0</v>
      </c>
    </row>
    <row r="85" spans="1:7" ht="25.5">
      <c r="A85" s="96" t="str">
        <f>+FLUJO_DE_CAJA_PROYECTO!A202</f>
        <v>PROGRAMA INDICA QUE DECISION TOMAR.</v>
      </c>
      <c r="B85">
        <f>+FLUJO_DE_CAJA_PROYECTO!B202</f>
        <v>0</v>
      </c>
      <c r="C85" s="94">
        <f>+FLUJO_DE_CAJA_PROYECTO!C202</f>
        <v>0</v>
      </c>
      <c r="D85" s="94">
        <f>+FLUJO_DE_CAJA_PROYECTO!D202</f>
        <v>0</v>
      </c>
      <c r="E85" s="94">
        <f>+FLUJO_DE_CAJA_PROYECTO!E201</f>
        <v>0</v>
      </c>
      <c r="F85" s="94">
        <f>+FLUJO_DE_CAJA_PROYECTO!F202</f>
        <v>0</v>
      </c>
      <c r="G85" s="94">
        <f>+FLUJO_DE_CAJA_PROYECTO!G202</f>
        <v>0</v>
      </c>
    </row>
    <row r="86" spans="1:7" ht="25.5">
      <c r="A86" s="96" t="str">
        <f>+FLUJO_DE_CAJA_PROYECTO!A203</f>
        <v>PARA LOS PERIODOS 1 EN ADELANTE</v>
      </c>
      <c r="B86">
        <f>+FLUJO_DE_CAJA_PROYECTO!B203</f>
        <v>0</v>
      </c>
      <c r="C86" s="94">
        <f>+FLUJO_DE_CAJA_PROYECTO!C203</f>
        <v>0</v>
      </c>
      <c r="D86" s="94">
        <f>+FLUJO_DE_CAJA_PROYECTO!D203</f>
        <v>0</v>
      </c>
      <c r="E86" s="94">
        <f>+FLUJO_DE_CAJA_PROYECTO!E203</f>
        <v>0</v>
      </c>
      <c r="F86" s="94">
        <f>+FLUJO_DE_CAJA_PROYECTO!F203</f>
        <v>0</v>
      </c>
      <c r="G86" s="94">
        <f>+FLUJO_DE_CAJA_PROYECTO!G203</f>
        <v>0</v>
      </c>
    </row>
    <row r="87" spans="1:7" ht="12.75">
      <c r="A87" s="96" t="str">
        <f>+FLUJO_DE_CAJA_PROYECTO!A204</f>
        <v>NUEVO SALDO DEL ANO</v>
      </c>
      <c r="B87">
        <f>+FLUJO_DE_CAJA_PROYECTO!B204</f>
        <v>0</v>
      </c>
      <c r="C87" s="94">
        <f>+FLUJO_DE_CAJA_PROYECTO!C204</f>
        <v>110</v>
      </c>
      <c r="D87" s="94">
        <f>+FLUJO_DE_CAJA_PROYECTO!D204</f>
        <v>0</v>
      </c>
      <c r="E87" s="94">
        <f>+FLUJO_DE_CAJA_PROYECTO!E204</f>
        <v>11</v>
      </c>
      <c r="F87" s="94">
        <f>+FLUJO_DE_CAJA_PROYECTO!F204</f>
        <v>29</v>
      </c>
      <c r="G87" s="94">
        <f>+FLUJO_DE_CAJA_PROYECTO!G204</f>
        <v>0</v>
      </c>
    </row>
    <row r="88" spans="1:7" ht="12.75">
      <c r="A88" s="96" t="str">
        <f>+FLUJO_DE_CAJA_PROYECTO!A207</f>
        <v>PRESTAMOS BANCARIOS</v>
      </c>
      <c r="B88" t="str">
        <f>+FLUJO_DE_CAJA_PROYECTO!B207</f>
        <v>(MENOS)</v>
      </c>
      <c r="C88" s="94">
        <f>+FLUJO_DE_CAJA_PROYECTO!C207</f>
        <v>-16110</v>
      </c>
      <c r="D88" s="94">
        <f>+FLUJO_DE_CAJA_PROYECTO!D207</f>
        <v>0</v>
      </c>
      <c r="E88" s="94">
        <f>+FLUJO_DE_CAJA_PROYECTO!E207</f>
        <v>0</v>
      </c>
      <c r="F88" s="94">
        <f>+FLUJO_DE_CAJA_PROYECTO!F207</f>
        <v>0</v>
      </c>
      <c r="G88" s="94">
        <f>+FLUJO_DE_CAJA_PROYECTO!G207</f>
        <v>0</v>
      </c>
    </row>
    <row r="89" spans="1:7" ht="25.5">
      <c r="A89" s="96" t="str">
        <f>+FLUJO_DE_CAJA_PROYECTO!A208</f>
        <v>AMORTIZACION DE PRESTAMOS</v>
      </c>
      <c r="B89" t="str">
        <f>+FLUJO_DE_CAJA_PROYECTO!B208</f>
        <v>(MÁS)</v>
      </c>
      <c r="C89" s="94">
        <f>+FLUJO_DE_CAJA_PROYECTO!C208</f>
        <v>0</v>
      </c>
      <c r="D89" s="94">
        <f>+FLUJO_DE_CAJA_PROYECTO!D208</f>
        <v>8273.453794651432</v>
      </c>
      <c r="E89" s="94">
        <f>+FLUJO_DE_CAJA_PROYECTO!E208</f>
        <v>7715.546205348568</v>
      </c>
      <c r="F89" s="94">
        <f>+FLUJO_DE_CAJA_PROYECTO!F208</f>
        <v>121</v>
      </c>
      <c r="G89" s="94">
        <f>+FLUJO_DE_CAJA_PROYECTO!G208</f>
        <v>0</v>
      </c>
    </row>
    <row r="90" spans="1:7" ht="12.75">
      <c r="A90" s="96" t="str">
        <f>+FLUJO_DE_CAJA_PROYECTO!A209</f>
        <v>PAGO DE INTERESES</v>
      </c>
      <c r="B90" t="str">
        <f>+FLUJO_DE_CAJA_PROYECTO!B209</f>
        <v>(MÁS)</v>
      </c>
      <c r="C90" s="94">
        <f>+FLUJO_DE_CAJA_PROYECTO!C209</f>
        <v>0</v>
      </c>
      <c r="D90" s="94">
        <f>+FLUJO_DE_CAJA_PROYECTO!D209</f>
        <v>4999.522572557812</v>
      </c>
      <c r="E90" s="94">
        <f>+FLUJO_DE_CAJA_PROYECTO!E209</f>
        <v>2404.91737299495</v>
      </c>
      <c r="F90" s="94">
        <f>+FLUJO_DE_CAJA_PROYECTO!F209</f>
        <v>35.31235155471003</v>
      </c>
      <c r="G90" s="94">
        <f>+FLUJO_DE_CAJA_PROYECTO!G209</f>
        <v>0</v>
      </c>
    </row>
    <row r="91" spans="1:7" ht="25.5">
      <c r="A91" s="96" t="str">
        <f>+FLUJO_DE_CAJA_PROYECTO!A210</f>
        <v>AHORRO EN IMPUESTOS POR INTERESES</v>
      </c>
      <c r="B91" t="str">
        <f>+FLUJO_DE_CAJA_PROYECTO!B210</f>
        <v>(MENOS)</v>
      </c>
      <c r="C91" s="94">
        <f>+FLUJO_DE_CAJA_PROYECTO!C210</f>
        <v>0</v>
      </c>
      <c r="D91" s="94">
        <f>+FLUJO_DE_CAJA_PROYECTO!D210</f>
        <v>0</v>
      </c>
      <c r="E91" s="94">
        <f>+FLUJO_DE_CAJA_PROYECTO!E210</f>
        <v>-1874.8209647091794</v>
      </c>
      <c r="F91" s="94">
        <f>+FLUJO_DE_CAJA_PROYECTO!F210</f>
        <v>-901.8440148731062</v>
      </c>
      <c r="G91" s="94">
        <f>+FLUJO_DE_CAJA_PROYECTO!G210</f>
        <v>-13.24213183301626</v>
      </c>
    </row>
    <row r="92" spans="1:7" ht="25.5">
      <c r="A92" s="96" t="str">
        <f>+FLUJO_DE_CAJA_PROYECTO!A227</f>
        <v>VALOR TERMINAL O DE MERCADO </v>
      </c>
      <c r="B92" t="s">
        <v>147</v>
      </c>
      <c r="C92" s="94"/>
      <c r="D92" s="94"/>
      <c r="E92" s="94"/>
      <c r="F92" s="94"/>
      <c r="G92" s="94">
        <f>+FLUJO_DE_CAJA_PROYECTO!G227</f>
        <v>118088.094913637</v>
      </c>
    </row>
    <row r="93" spans="1:7" ht="12.75">
      <c r="A93" s="96" t="str">
        <f>+FLUJO_DE_CAJA_PROYECTO!A212</f>
        <v>UTILIDADES REPARTIDAS</v>
      </c>
      <c r="B93" t="str">
        <f>+FLUJO_DE_CAJA_PROYECTO!B212</f>
        <v>(MÁS)</v>
      </c>
      <c r="C93" s="94">
        <f>+FLUJO_DE_CAJA_PROYECTO!C212</f>
        <v>0</v>
      </c>
      <c r="D93" s="94">
        <f>+FLUJO_DE_CAJA_PROYECTO!D212</f>
        <v>0</v>
      </c>
      <c r="E93" s="94">
        <f>+FLUJO_DE_CAJA_PROYECTO!E212</f>
        <v>298.7514083981402</v>
      </c>
      <c r="F93" s="94">
        <f>+FLUJO_DE_CAJA_PROYECTO!F212</f>
        <v>1903.4459187345183</v>
      </c>
      <c r="G93" s="94">
        <f>+FLUJO_DE_CAJA_PROYECTO!G212</f>
        <v>4307.568073102927</v>
      </c>
    </row>
    <row r="94" spans="1:7" ht="12.75">
      <c r="A94" s="96"/>
      <c r="C94" s="94"/>
      <c r="D94" s="94"/>
      <c r="E94" s="94"/>
      <c r="F94" s="94"/>
      <c r="G94" s="94"/>
    </row>
    <row r="95" spans="1:7" ht="25.5">
      <c r="A95" s="96" t="str">
        <f>+FLUJO_DE_CAJA_PROYECTO!A214</f>
        <v>APORTES DE CAPITAL EN EFECTIVO</v>
      </c>
      <c r="B95" t="str">
        <f>+FLUJO_DE_CAJA_PROYECTO!B214</f>
        <v>(MENOS)</v>
      </c>
      <c r="C95" s="94">
        <f>+FLUJO_DE_CAJA_PROYECTO!C214</f>
        <v>-24000</v>
      </c>
      <c r="D95" s="94">
        <f>+FLUJO_DE_CAJA_PROYECTO!D214</f>
        <v>0</v>
      </c>
      <c r="E95" s="94">
        <f>+FLUJO_DE_CAJA_PROYECTO!E214</f>
        <v>0</v>
      </c>
      <c r="F95" s="94">
        <f>+FLUJO_DE_CAJA_PROYECTO!F214</f>
        <v>0</v>
      </c>
      <c r="G95" s="94">
        <f>+FLUJO_DE_CAJA_PROYECTO!G214</f>
        <v>0</v>
      </c>
    </row>
    <row r="96" spans="1:7" ht="25.5">
      <c r="A96" s="96" t="str">
        <f>+FLUJO_DE_CAJA_PROYECTO!A229</f>
        <v>PARA EL PERIODO 0: TOTAL DE ACTIVOS</v>
      </c>
      <c r="B96">
        <f>+FLUJO_DE_CAJA_PROYECTO!B229</f>
        <v>0</v>
      </c>
      <c r="C96" s="94">
        <f>+FLUJO_DE_CAJA_PROYECTO!C229</f>
        <v>0</v>
      </c>
      <c r="D96" s="94">
        <f>+FLUJO_DE_CAJA_PROYECTO!D229</f>
        <v>0</v>
      </c>
      <c r="E96" s="94">
        <f>+FLUJO_DE_CAJA_PROYECTO!E229</f>
        <v>0</v>
      </c>
      <c r="F96" s="94">
        <f>+FLUJO_DE_CAJA_PROYECTO!F229</f>
        <v>0</v>
      </c>
      <c r="G96" s="94">
        <f>+FLUJO_DE_CAJA_PROYECTO!G229</f>
        <v>0</v>
      </c>
    </row>
    <row r="97" spans="1:7" ht="38.25">
      <c r="A97" s="96" t="str">
        <f>+FLUJO_DE_CAJA_PROYECTO!A230</f>
        <v>FLUJO DE CAJA DEL PROYECTO DESPUES DE IMPUESTOS</v>
      </c>
      <c r="B97">
        <f>+FLUJO_DE_CAJA_PROYECTO!B230</f>
        <v>0</v>
      </c>
      <c r="C97" s="94">
        <f>+FLUJO_DE_CAJA_PROYECTO!C230</f>
        <v>-40110</v>
      </c>
      <c r="D97" s="94">
        <f>+FLUJO_DE_CAJA_PROYECTO!D230</f>
        <v>13272.976367209245</v>
      </c>
      <c r="E97" s="94">
        <f>+FLUJO_DE_CAJA_PROYECTO!E230</f>
        <v>8544.39402203248</v>
      </c>
      <c r="F97" s="94">
        <f>+FLUJO_DE_CAJA_PROYECTO!F230</f>
        <v>1157.9142554161222</v>
      </c>
      <c r="G97" s="94">
        <f>+FLUJO_DE_CAJA_PROYECTO!G230</f>
        <v>122382.42085490692</v>
      </c>
    </row>
    <row r="98" spans="1:7" ht="12.75">
      <c r="A98" s="96" t="str">
        <f>+FLUJO_DE_CAJA_PROYECTO!A232</f>
        <v>FACTOR DE VALOR PRESENTE</v>
      </c>
      <c r="B98">
        <f>+FLUJO_DE_CAJA_PROYECTO!B232</f>
        <v>0</v>
      </c>
      <c r="C98" s="94">
        <f>+FLUJO_DE_CAJA_PROYECTO!C232</f>
        <v>1</v>
      </c>
      <c r="D98" s="95">
        <f>+FLUJO_DE_CAJA_PROYECTO!D232</f>
        <v>0.7732755954222084</v>
      </c>
      <c r="E98" s="95">
        <f>+FLUJO_DE_CAJA_PROYECTO!E232</f>
        <v>0.593093722520485</v>
      </c>
      <c r="F98" s="95">
        <f>+FLUJO_DE_CAJA_PROYECTO!F232</f>
        <v>0.4624151898647162</v>
      </c>
      <c r="G98" s="95">
        <f>+FLUJO_DE_CAJA_PROYECTO!G232</f>
        <v>0.36353395429616053</v>
      </c>
    </row>
    <row r="99" spans="1:7" ht="25.5">
      <c r="A99" s="96" t="str">
        <f>+FLUJO_DE_CAJA_PROYECTO!A233</f>
        <v>VPN (TASA(S) DE DESCUENTO) DESPUES DE IMPUESTO</v>
      </c>
      <c r="B99">
        <f>+FLUJO_DE_CAJA_PROYECTO!B233</f>
        <v>0</v>
      </c>
      <c r="C99" s="94">
        <f>+FLUJO_DE_CAJA_PROYECTO!C233</f>
        <v>20246.897690574177</v>
      </c>
      <c r="D99" s="94" t="str">
        <f>+FLUJO_DE_CAJA_PROYECTO!D233</f>
        <v>DECISION:</v>
      </c>
      <c r="E99" s="94" t="str">
        <f>+FLUJO_DE_CAJA_PROYECTO!E233</f>
        <v>ACEPTE</v>
      </c>
      <c r="F99" s="94">
        <f>+FLUJO_DE_CAJA_PROYECTO!F233</f>
        <v>0</v>
      </c>
      <c r="G99" s="94">
        <f>+FLUJO_DE_CAJA_PROYECTO!G233</f>
        <v>0</v>
      </c>
    </row>
    <row r="100" spans="1:7" ht="25.5">
      <c r="A100" s="96" t="str">
        <f>+FLUJO_DE_CAJA_PROYECTO!A234</f>
        <v>FLUJO DE CAJA CON "REINVERSION" AL 0% DI</v>
      </c>
      <c r="B100">
        <f>+FLUJO_DE_CAJA_PROYECTO!B234</f>
        <v>0</v>
      </c>
      <c r="C100" s="94">
        <f>+FLUJO_DE_CAJA_PROYECTO!C234</f>
        <v>-40110</v>
      </c>
      <c r="D100" s="94">
        <f>+FLUJO_DE_CAJA_PROYECTO!D234</f>
        <v>0</v>
      </c>
      <c r="E100" s="94">
        <f>+FLUJO_DE_CAJA_PROYECTO!E234</f>
        <v>0</v>
      </c>
      <c r="F100" s="94">
        <f>+FLUJO_DE_CAJA_PROYECTO!F234</f>
        <v>0</v>
      </c>
      <c r="G100" s="94">
        <f>+FLUJO_DE_CAJA_PROYECTO!G234</f>
        <v>145357.70549956476</v>
      </c>
    </row>
    <row r="101" spans="1:7" ht="25.5">
      <c r="A101" s="96" t="str">
        <f>+FLUJO_DE_CAJA_PROYECTO!A235</f>
        <v>VPN (TASA(S) DE DESCUENTO) DESPUES DE IMPUESTO</v>
      </c>
      <c r="B101">
        <f>+FLUJO_DE_CAJA_PROYECTO!B235</f>
        <v>0</v>
      </c>
      <c r="C101" s="94">
        <f>+FLUJO_DE_CAJA_PROYECTO!C235</f>
        <v>12732.461467673536</v>
      </c>
      <c r="D101" s="94" t="str">
        <f>+FLUJO_DE_CAJA_PROYECTO!D235</f>
        <v>DECISION:</v>
      </c>
      <c r="E101" s="94" t="str">
        <f>+FLUJO_DE_CAJA_PROYECTO!E235</f>
        <v>ACEPTE</v>
      </c>
      <c r="F101" s="94">
        <f>+FLUJO_DE_CAJA_PROYECTO!F235</f>
        <v>0</v>
      </c>
      <c r="G101" s="94">
        <f>+FLUJO_DE_CAJA_PROYECTO!G235</f>
        <v>0</v>
      </c>
    </row>
    <row r="102" spans="1:7" ht="140.25">
      <c r="A102" s="96" t="str">
        <f>+FLUJO_DE_CAJA_PROYECTO!A236</f>
        <v>EL FLUJO DE CAJA  DEL ACCIONISTA ES IGUAL AL SALDO DEL AÑO (DESPUÉS DE FINANCIACIÓN Y REINVERSIÓN DE EXCEDENTES) MÁS LAS UTILIDADES RECIBIDAS MENOS LOS APORTES (PARA LOS PERÍODOS 0 A N-1). EN EL ÚLTIMO SE LE AGREGA A LO ANTERIOR (LAS UTILIDADES RECIB</v>
      </c>
      <c r="B102">
        <f>+FLUJO_DE_CAJA_PROYECTO!B236</f>
        <v>0</v>
      </c>
      <c r="C102" s="94">
        <f>+FLUJO_DE_CAJA_PROYECTO!C236</f>
        <v>0</v>
      </c>
      <c r="D102" s="94">
        <f>+FLUJO_DE_CAJA_PROYECTO!D236</f>
        <v>0</v>
      </c>
      <c r="E102" s="94">
        <f>+FLUJO_DE_CAJA_PROYECTO!E236</f>
        <v>0</v>
      </c>
      <c r="F102" s="94">
        <f>+FLUJO_DE_CAJA_PROYECTO!F236</f>
        <v>0</v>
      </c>
      <c r="G102" s="94">
        <f>+FLUJO_DE_CAJA_PROYECTO!G236</f>
        <v>0</v>
      </c>
    </row>
    <row r="103" spans="1:7" ht="12.75">
      <c r="A103" t="str">
        <f>+FLUJO_DE_CAJA_PROYECTO!A237</f>
        <v>FLUJO DE CAJA DE DIVIDENDOS DEL INVERSIONISTA</v>
      </c>
      <c r="B103">
        <f>+FLUJO_DE_CAJA_PROYECTO!B237</f>
        <v>0</v>
      </c>
      <c r="C103" s="94">
        <f>+FLUJO_DE_CAJA_PROYECTO!C237</f>
        <v>-24000</v>
      </c>
      <c r="D103" s="94">
        <f>+FLUJO_DE_CAJA_PROYECTO!D237</f>
        <v>0</v>
      </c>
      <c r="E103" s="94">
        <f>+FLUJO_DE_CAJA_PROYECTO!E237</f>
        <v>298.7514083981402</v>
      </c>
      <c r="F103" s="94">
        <f>+FLUJO_DE_CAJA_PROYECTO!F237</f>
        <v>1903.4459187345183</v>
      </c>
      <c r="G103" s="94">
        <f>+FLUJO_DE_CAJA_PROYECTO!G237</f>
        <v>122395.66298673993</v>
      </c>
    </row>
    <row r="104" spans="1:7" ht="12.75">
      <c r="A104" t="str">
        <f>+FLUJO_DE_CAJA_PROYECTO!A238</f>
        <v>FACTOR DE VALOR PRESENTE A LA TASA DE OPORTUNIDAD DESPUES DE IMPUESTOS</v>
      </c>
      <c r="B104">
        <f>+FLUJO_DE_CAJA_PROYECTO!B238</f>
        <v>0</v>
      </c>
      <c r="C104" s="94">
        <f>+FLUJO_DE_CAJA_PROYECTO!C238</f>
        <v>1</v>
      </c>
      <c r="D104" s="94">
        <f>+FLUJO_DE_CAJA_PROYECTO!D238</f>
        <v>0.7379961079380108</v>
      </c>
      <c r="E104" s="94">
        <f>+FLUJO_DE_CAJA_PROYECTO!E238</f>
        <v>0.5492087942987459</v>
      </c>
      <c r="F104" s="94">
        <f>+FLUJO_DE_CAJA_PROYECTO!F238</f>
        <v>0.41343790604061226</v>
      </c>
      <c r="G104" s="94">
        <f>+FLUJO_DE_CAJA_PROYECTO!G238</f>
        <v>0.3135138265704068</v>
      </c>
    </row>
    <row r="105" spans="1:7" ht="12.75">
      <c r="A105" t="str">
        <f>+FLUJO_DE_CAJA_PROYECTO!A239</f>
        <v>VPN (TASA DE DESCUENTO) DESPUES DE IMPUESTOS</v>
      </c>
      <c r="B105">
        <f>+FLUJO_DE_CAJA_PROYECTO!B239</f>
        <v>0</v>
      </c>
      <c r="C105" s="94">
        <f>+FLUJO_DE_CAJA_PROYECTO!C239</f>
        <v>15323.766254299284</v>
      </c>
      <c r="D105" s="94" t="str">
        <f>+FLUJO_DE_CAJA_PROYECTO!D239</f>
        <v>DECISION</v>
      </c>
      <c r="E105" s="94" t="str">
        <f>+FLUJO_DE_CAJA_PROYECTO!E239</f>
        <v>ACEPTE</v>
      </c>
      <c r="F105" s="94">
        <f>+FLUJO_DE_CAJA_PROYECTO!F239</f>
        <v>0</v>
      </c>
      <c r="G105" s="94">
        <f>+FLUJO_DE_CAJA_PROYECTO!G239</f>
        <v>0</v>
      </c>
    </row>
    <row r="106" spans="1:7" ht="12.75">
      <c r="A106" t="str">
        <f>+FLUJO_DE_CAJA_PROYECTO!A240</f>
        <v>FLUJO DE CAJA DE LA FINANCIACION PARA COSTO DESPUES DE IMPUESTOS</v>
      </c>
      <c r="B106">
        <f>+FLUJO_DE_CAJA_PROYECTO!B240</f>
        <v>0</v>
      </c>
      <c r="C106" s="94">
        <f>+FLUJO_DE_CAJA_PROYECTO!C240</f>
        <v>-16110</v>
      </c>
      <c r="D106" s="94">
        <f>+FLUJO_DE_CAJA_PROYECTO!D240</f>
        <v>13272.976367209245</v>
      </c>
      <c r="E106" s="94">
        <f>+FLUJO_DE_CAJA_PROYECTO!E240</f>
        <v>8245.642613634338</v>
      </c>
      <c r="F106" s="94">
        <f>+FLUJO_DE_CAJA_PROYECTO!F240</f>
        <v>-745.5316633183961</v>
      </c>
      <c r="G106" s="94">
        <f>+FLUJO_DE_CAJA_PROYECTO!G240</f>
        <v>-13.24213183301626</v>
      </c>
    </row>
    <row r="107" spans="3:7" ht="12.75">
      <c r="C107" s="94"/>
      <c r="D107" s="94"/>
      <c r="E107" s="94"/>
      <c r="F107" s="94"/>
      <c r="G107" s="94"/>
    </row>
    <row r="108" spans="3:7" ht="12.75">
      <c r="C108" s="94"/>
      <c r="D108" s="94"/>
      <c r="E108" s="94"/>
      <c r="F108" s="94"/>
      <c r="G108" s="94"/>
    </row>
    <row r="109" spans="1:7" ht="12.75">
      <c r="A109" t="str">
        <f>+FLUJO_DE_CAJA_PROYECTO!A251</f>
        <v>flujo del proyecto</v>
      </c>
      <c r="B109">
        <f>+FLUJO_DE_CAJA_PROYECTO!B251</f>
        <v>0</v>
      </c>
      <c r="C109" s="94">
        <f>+FLUJO_DE_CAJA_PROYECTO!C251</f>
        <v>-40110</v>
      </c>
      <c r="D109" s="94">
        <f>+FLUJO_DE_CAJA_PROYECTO!D251</f>
        <v>13272.976367209245</v>
      </c>
      <c r="E109" s="94">
        <f>+FLUJO_DE_CAJA_PROYECTO!E251</f>
        <v>8544.39402203248</v>
      </c>
      <c r="F109" s="94">
        <f>+FLUJO_DE_CAJA_PROYECTO!F251</f>
        <v>1157.9142554161222</v>
      </c>
      <c r="G109" s="94">
        <f>+FLUJO_DE_CAJA_PROYECTO!G251</f>
        <v>122382.42085490692</v>
      </c>
    </row>
    <row r="110" spans="1:7" ht="12.75">
      <c r="A110" t="str">
        <f>+FLUJO_DE_CAJA_PROYECTO!A252</f>
        <v>flujo de la financiación</v>
      </c>
      <c r="B110">
        <f>+FLUJO_DE_CAJA_PROYECTO!B252</f>
        <v>0</v>
      </c>
      <c r="C110" s="94">
        <f>+FLUJO_DE_CAJA_PROYECTO!C252</f>
        <v>-16110</v>
      </c>
      <c r="D110" s="94">
        <f>+FLUJO_DE_CAJA_PROYECTO!D252</f>
        <v>13272.976367209245</v>
      </c>
      <c r="E110" s="94">
        <f>+FLUJO_DE_CAJA_PROYECTO!E252</f>
        <v>8245.64261363434</v>
      </c>
      <c r="F110" s="94">
        <f>+FLUJO_DE_CAJA_PROYECTO!F252</f>
        <v>-745.5316633183961</v>
      </c>
      <c r="G110" s="94">
        <f>+FLUJO_DE_CAJA_PROYECTO!G252</f>
        <v>-13.24213183301626</v>
      </c>
    </row>
    <row r="111" spans="1:7" ht="12.75">
      <c r="A111" t="str">
        <f>+FLUJO_DE_CAJA_PROYECTO!A253</f>
        <v>flujo del accionista</v>
      </c>
      <c r="B111">
        <f>+FLUJO_DE_CAJA_PROYECTO!B253</f>
        <v>0</v>
      </c>
      <c r="C111" s="94">
        <f>+FLUJO_DE_CAJA_PROYECTO!C253</f>
        <v>-24000</v>
      </c>
      <c r="D111" s="94">
        <f>+FLUJO_DE_CAJA_PROYECTO!D253</f>
        <v>0</v>
      </c>
      <c r="E111" s="94">
        <f>+FLUJO_DE_CAJA_PROYECTO!E253</f>
        <v>298.7514083981402</v>
      </c>
      <c r="F111" s="94">
        <f>+FLUJO_DE_CAJA_PROYECTO!F253</f>
        <v>1903.4459187345183</v>
      </c>
      <c r="G111" s="94">
        <f>+FLUJO_DE_CAJA_PROYECTO!G253</f>
        <v>122395.66298673993</v>
      </c>
    </row>
    <row r="112" spans="3:7" ht="12.75">
      <c r="C112" s="94"/>
      <c r="D112" s="94"/>
      <c r="E112" s="94"/>
      <c r="F112" s="94"/>
      <c r="G112" s="94"/>
    </row>
    <row r="113" spans="1:7" ht="12.75">
      <c r="A113" t="str">
        <f>+FLUJO_DE_CAJA_PROYECTO!A254</f>
        <v>Flujo de caja libre del proyecto = suma fin + accioncons</v>
      </c>
      <c r="B113">
        <f>+FLUJO_DE_CAJA_PROYECTO!B254</f>
        <v>0</v>
      </c>
      <c r="C113" s="94">
        <f>+FLUJO_DE_CAJA_PROYECTO!C254</f>
        <v>-40110</v>
      </c>
      <c r="D113" s="97">
        <f>+FLUJO_DE_CAJA_PROYECTO!D254</f>
        <v>13272.976367209245</v>
      </c>
      <c r="E113" s="94">
        <f>+FLUJO_DE_CAJA_PROYECTO!E254</f>
        <v>8544.39402203248</v>
      </c>
      <c r="F113" s="94">
        <f>+FLUJO_DE_CAJA_PROYECTO!F254</f>
        <v>1157.9142554161222</v>
      </c>
      <c r="G113" s="94">
        <f>+FLUJO_DE_CAJA_PROYECTO!G254</f>
        <v>122382.42085490692</v>
      </c>
    </row>
  </sheetData>
  <sheetProtection/>
  <hyperlinks>
    <hyperlink ref="A4" location="MENU!A1" display="MENU"/>
  </hyperlinks>
  <printOptions/>
  <pageMargins left="0.75" right="0.75" top="1" bottom="1"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Hoja4"/>
  <dimension ref="A1:S237"/>
  <sheetViews>
    <sheetView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4" sqref="A4"/>
    </sheetView>
  </sheetViews>
  <sheetFormatPr defaultColWidth="12.57421875" defaultRowHeight="12.75"/>
  <cols>
    <col min="1" max="1" width="47.140625" style="9" customWidth="1"/>
    <col min="2" max="2" width="14.421875" style="9" customWidth="1"/>
    <col min="3" max="3" width="15.140625" style="9" customWidth="1"/>
    <col min="4" max="7" width="15.140625" style="9" bestFit="1" customWidth="1"/>
    <col min="8" max="8" width="13.57421875" style="9" bestFit="1" customWidth="1"/>
    <col min="9" max="9" width="14.8515625" style="9" customWidth="1"/>
    <col min="10" max="10" width="7.57421875" style="9" bestFit="1" customWidth="1"/>
    <col min="11" max="11" width="6.28125" style="9" bestFit="1" customWidth="1"/>
    <col min="12" max="16384" width="12.57421875" style="9" customWidth="1"/>
  </cols>
  <sheetData>
    <row r="1" spans="1:7" ht="12.75">
      <c r="A1" s="6" t="s">
        <v>5</v>
      </c>
      <c r="B1" s="7"/>
      <c r="C1" s="135" t="s">
        <v>373</v>
      </c>
      <c r="D1" s="7"/>
      <c r="E1" s="7"/>
      <c r="F1" s="7"/>
      <c r="G1" s="7"/>
    </row>
    <row r="2" spans="1:7" ht="12.75">
      <c r="A2" s="6" t="s">
        <v>6</v>
      </c>
      <c r="B2" s="7"/>
      <c r="C2" s="7"/>
      <c r="D2" s="7"/>
      <c r="E2" s="7"/>
      <c r="F2" s="7"/>
      <c r="G2" s="7"/>
    </row>
    <row r="3" spans="1:7" ht="12.75">
      <c r="A3" s="10" t="s">
        <v>4</v>
      </c>
      <c r="B3" s="10"/>
      <c r="C3" s="10"/>
      <c r="D3" s="10"/>
      <c r="E3" s="10"/>
      <c r="F3" s="11"/>
      <c r="G3" s="11"/>
    </row>
    <row r="4" spans="1:7" ht="13.5">
      <c r="A4" s="147" t="s">
        <v>328</v>
      </c>
      <c r="B4" s="7"/>
      <c r="C4" s="12" t="s">
        <v>7</v>
      </c>
      <c r="D4" s="12" t="s">
        <v>8</v>
      </c>
      <c r="E4" s="12" t="s">
        <v>9</v>
      </c>
      <c r="F4" s="12" t="s">
        <v>10</v>
      </c>
      <c r="G4" s="12" t="s">
        <v>11</v>
      </c>
    </row>
    <row r="5" spans="1:7" ht="38.25">
      <c r="A5" s="13" t="s">
        <v>12</v>
      </c>
      <c r="B5" s="14">
        <v>1</v>
      </c>
      <c r="C5" s="13" t="s">
        <v>360</v>
      </c>
      <c r="D5" s="13">
        <v>1</v>
      </c>
      <c r="E5" s="7"/>
      <c r="F5" s="7"/>
      <c r="G5" s="7"/>
    </row>
    <row r="6" spans="1:19" ht="54">
      <c r="A6" s="16" t="s">
        <v>13</v>
      </c>
      <c r="B6" s="17"/>
      <c r="D6" s="18"/>
      <c r="E6" s="19"/>
      <c r="F6" s="7"/>
      <c r="G6" s="7"/>
      <c r="H6"/>
      <c r="I6"/>
      <c r="J6"/>
      <c r="K6"/>
      <c r="R6"/>
      <c r="S6"/>
    </row>
    <row r="7" spans="1:19" ht="12.75">
      <c r="A7" s="20" t="s">
        <v>15</v>
      </c>
      <c r="B7" s="7"/>
      <c r="D7" s="128">
        <f>+FLUJO_DE_CAJA_PROYECTO!D7</f>
        <v>0.375</v>
      </c>
      <c r="E7" s="128">
        <f>+FLUJO_DE_CAJA_PROYECTO!E7</f>
        <v>0.375</v>
      </c>
      <c r="F7" s="128">
        <f>+FLUJO_DE_CAJA_PROYECTO!F7</f>
        <v>0.375</v>
      </c>
      <c r="G7" s="128">
        <f>+FLUJO_DE_CAJA_PROYECTO!G7</f>
        <v>0.375</v>
      </c>
      <c r="H7"/>
      <c r="J7"/>
      <c r="R7" s="85"/>
      <c r="S7" s="85"/>
    </row>
    <row r="8" spans="1:19" ht="25.5">
      <c r="A8" s="20" t="s">
        <v>16</v>
      </c>
      <c r="B8" s="7"/>
      <c r="C8" s="22">
        <v>0</v>
      </c>
      <c r="D8" s="128">
        <f>+FLUJO_DE_CAJA_PROYECTO!D8</f>
        <v>0.22</v>
      </c>
      <c r="E8" s="128">
        <f>+FLUJO_DE_CAJA_PROYECTO!E8</f>
        <v>0.23</v>
      </c>
      <c r="F8" s="128">
        <f>+FLUJO_DE_CAJA_PROYECTO!F8</f>
        <v>0.21</v>
      </c>
      <c r="G8" s="128">
        <f>+FLUJO_DE_CAJA_PROYECTO!G8</f>
        <v>0.2</v>
      </c>
      <c r="H8"/>
      <c r="J8"/>
      <c r="R8" s="85"/>
      <c r="S8" s="85"/>
    </row>
    <row r="9" spans="1:19" ht="12.75">
      <c r="A9" s="20" t="s">
        <v>344</v>
      </c>
      <c r="B9" s="7"/>
      <c r="C9" s="22"/>
      <c r="D9" s="126"/>
      <c r="E9" s="126"/>
      <c r="F9" s="126"/>
      <c r="G9" s="126"/>
      <c r="H9"/>
      <c r="I9" s="85"/>
      <c r="J9"/>
      <c r="K9" s="85"/>
      <c r="R9" s="85"/>
      <c r="S9" s="85"/>
    </row>
    <row r="10" spans="1:19" ht="12.75">
      <c r="A10" s="20" t="s">
        <v>345</v>
      </c>
      <c r="B10" s="126">
        <f>+FLUJO_DE_CAJA_PROYECTO!B10</f>
        <v>8200</v>
      </c>
      <c r="C10" s="22"/>
      <c r="D10" s="126"/>
      <c r="E10" s="126"/>
      <c r="F10" s="126"/>
      <c r="G10" s="126"/>
      <c r="H10"/>
      <c r="I10" s="85"/>
      <c r="J10"/>
      <c r="K10" s="85"/>
      <c r="R10" s="85"/>
      <c r="S10" s="85"/>
    </row>
    <row r="11" spans="1:19" ht="12.75">
      <c r="A11" s="20" t="s">
        <v>346</v>
      </c>
      <c r="B11" s="126">
        <f>+FLUJO_DE_CAJA_PROYECTO!B11</f>
        <v>2.71</v>
      </c>
      <c r="C11" s="22"/>
      <c r="D11" s="126"/>
      <c r="E11" s="126"/>
      <c r="F11" s="126"/>
      <c r="G11" s="126"/>
      <c r="H11"/>
      <c r="I11" s="85"/>
      <c r="J11"/>
      <c r="K11" s="85"/>
      <c r="R11" s="85"/>
      <c r="S11" s="85"/>
    </row>
    <row r="12" spans="1:19" ht="12.75">
      <c r="A12" s="20" t="s">
        <v>347</v>
      </c>
      <c r="B12" s="126">
        <f>+FLUJO_DE_CAJA_PROYECTO!B12</f>
        <v>7200</v>
      </c>
      <c r="C12" s="22"/>
      <c r="D12" s="126"/>
      <c r="E12" s="126"/>
      <c r="F12" s="126"/>
      <c r="G12" s="126"/>
      <c r="H12"/>
      <c r="I12" s="85"/>
      <c r="J12"/>
      <c r="K12" s="85"/>
      <c r="R12" s="85"/>
      <c r="S12" s="85"/>
    </row>
    <row r="13" spans="1:19" ht="12.75">
      <c r="A13" s="20" t="s">
        <v>348</v>
      </c>
      <c r="B13" s="126">
        <f>+FLUJO_DE_CAJA_PROYECTO!B13</f>
        <v>5.82</v>
      </c>
      <c r="C13" s="22"/>
      <c r="D13" s="126"/>
      <c r="E13" s="126"/>
      <c r="F13" s="126"/>
      <c r="G13" s="126"/>
      <c r="H13"/>
      <c r="I13" s="85"/>
      <c r="J13"/>
      <c r="K13" s="85"/>
      <c r="R13" s="85"/>
      <c r="S13" s="85"/>
    </row>
    <row r="14" spans="1:18" ht="24.75" customHeight="1">
      <c r="A14" s="20" t="s">
        <v>17</v>
      </c>
      <c r="B14" s="7"/>
      <c r="C14" s="86">
        <f>IF(AND(C34&gt;B11,C34&lt;B13)=TRUE,9714*C34^-0.1701,IF(C34&gt;B13,B12,B10))</f>
        <v>7246.550377606568</v>
      </c>
      <c r="D14" s="24"/>
      <c r="E14" s="24"/>
      <c r="F14" s="24"/>
      <c r="G14" s="24"/>
      <c r="O14"/>
      <c r="P14" s="85"/>
      <c r="Q14"/>
      <c r="R14" s="85"/>
    </row>
    <row r="15" spans="1:7" ht="12.75">
      <c r="A15" s="20" t="s">
        <v>18</v>
      </c>
      <c r="B15" s="7"/>
      <c r="C15" s="22">
        <v>0</v>
      </c>
      <c r="D15" s="128">
        <f>+FLUJO_DE_CAJA_PROYECTO!D15</f>
        <v>0</v>
      </c>
      <c r="E15" s="128">
        <f>+FLUJO_DE_CAJA_PROYECTO!E15</f>
        <v>0.07</v>
      </c>
      <c r="F15" s="128">
        <f>+FLUJO_DE_CAJA_PROYECTO!F15</f>
        <v>0.05</v>
      </c>
      <c r="G15" s="128">
        <f>+FLUJO_DE_CAJA_PROYECTO!G15</f>
        <v>0.04</v>
      </c>
    </row>
    <row r="16" spans="1:7" ht="12.75">
      <c r="A16" s="20" t="s">
        <v>19</v>
      </c>
      <c r="B16" s="7"/>
      <c r="C16" s="22">
        <v>0</v>
      </c>
      <c r="D16" s="128">
        <f>+FLUJO_DE_CAJA_PROYECTO!D16</f>
        <v>0.06</v>
      </c>
      <c r="E16" s="128">
        <f>+FLUJO_DE_CAJA_PROYECTO!E16</f>
        <v>0.06</v>
      </c>
      <c r="F16" s="128">
        <f>+FLUJO_DE_CAJA_PROYECTO!F16</f>
        <v>0.06</v>
      </c>
      <c r="G16" s="128">
        <f>+FLUJO_DE_CAJA_PROYECTO!G16</f>
        <v>0.06</v>
      </c>
    </row>
    <row r="17" spans="1:7" ht="12.75">
      <c r="A17" s="20" t="s">
        <v>20</v>
      </c>
      <c r="B17" s="7"/>
      <c r="C17" s="7"/>
      <c r="D17" s="27"/>
      <c r="E17" s="27"/>
      <c r="F17" s="27"/>
      <c r="G17" s="27"/>
    </row>
    <row r="18" spans="1:7" ht="12.75">
      <c r="A18" s="13" t="s">
        <v>21</v>
      </c>
      <c r="B18" s="7"/>
      <c r="C18" s="28">
        <v>0</v>
      </c>
      <c r="D18" s="128">
        <f>+FLUJO_DE_CAJA_PROYECTO!D18</f>
        <v>0.1</v>
      </c>
      <c r="E18" s="128">
        <f>+FLUJO_DE_CAJA_PROYECTO!E18</f>
        <v>0.1</v>
      </c>
      <c r="F18" s="128">
        <f>+FLUJO_DE_CAJA_PROYECTO!F18</f>
        <v>0.1</v>
      </c>
      <c r="G18" s="128">
        <f>+FLUJO_DE_CAJA_PROYECTO!G18</f>
        <v>0.1</v>
      </c>
    </row>
    <row r="19" spans="1:7" ht="12.75">
      <c r="A19" s="13" t="s">
        <v>178</v>
      </c>
      <c r="D19" s="77">
        <f>+((1+D8)*(1+D16)*(1+D237*D18)-1)</f>
        <v>0.3520166900499384</v>
      </c>
      <c r="E19" s="77">
        <f>+((1+E8)*(1+E16)*(1+E237*E18)-1)</f>
        <v>0.34855385662393634</v>
      </c>
      <c r="F19" s="77">
        <f>+((1+F8)*(1+F16)*(1+F237*F18)-1)</f>
        <v>0.3226590710360755</v>
      </c>
      <c r="G19" s="77">
        <f>+((1+G8)*(1+G16)*(1+G237*G18)-1)</f>
        <v>0.31172800433329795</v>
      </c>
    </row>
    <row r="20" spans="1:7" ht="12.75">
      <c r="A20" s="13" t="s">
        <v>22</v>
      </c>
      <c r="B20" s="7"/>
      <c r="C20" s="127"/>
      <c r="D20" s="29">
        <f>2*((1+D19)^(1/2)-1)</f>
        <v>0.3255250504347944</v>
      </c>
      <c r="E20" s="29">
        <f>2*((1+E19)^(1/2)-1)</f>
        <v>0.3225450321782235</v>
      </c>
      <c r="F20" s="29">
        <f>2*((1+F19)^(1/2)-1)</f>
        <v>0.30013831848093453</v>
      </c>
      <c r="G20" s="29">
        <f>2*((1+G19)^(1/2)-1)</f>
        <v>0.2906138952981996</v>
      </c>
    </row>
    <row r="21" spans="1:7" ht="12.75">
      <c r="A21" s="13" t="s">
        <v>23</v>
      </c>
      <c r="B21" s="7"/>
      <c r="C21" s="29"/>
      <c r="D21" s="29">
        <f>IF(D20=0,0,0.7782*D20-0.0201)</f>
        <v>0.23322359424835698</v>
      </c>
      <c r="E21" s="29">
        <f>IF(E20=0,0,0.7782*E20-0.0201)</f>
        <v>0.2309045440410935</v>
      </c>
      <c r="F21" s="29">
        <f>IF(F20=0,0,0.7782*F20-0.0201)</f>
        <v>0.21346763944186326</v>
      </c>
      <c r="G21" s="29">
        <f>IF(G20=0,0,0.7782*G20-0.0201)</f>
        <v>0.20605573332105892</v>
      </c>
    </row>
    <row r="22" spans="1:7" ht="76.5">
      <c r="A22" s="20" t="s">
        <v>24</v>
      </c>
      <c r="B22" s="7"/>
      <c r="C22" s="29"/>
      <c r="D22" s="29"/>
      <c r="E22" s="29"/>
      <c r="F22" s="29"/>
      <c r="G22" s="29"/>
    </row>
    <row r="23" spans="1:7" ht="12.75">
      <c r="A23" s="13" t="s">
        <v>25</v>
      </c>
      <c r="B23" s="7"/>
      <c r="C23" s="22">
        <v>0</v>
      </c>
      <c r="D23" s="129">
        <f>+FLUJO_DE_CAJA_PROYECTO!D23</f>
        <v>0.15</v>
      </c>
      <c r="E23" s="129">
        <f>+FLUJO_DE_CAJA_PROYECTO!E23</f>
        <v>0.15</v>
      </c>
      <c r="F23" s="129">
        <f>+FLUJO_DE_CAJA_PROYECTO!F23</f>
        <v>0.15</v>
      </c>
      <c r="G23" s="129">
        <f>+FLUJO_DE_CAJA_PROYECTO!G23</f>
        <v>0.15</v>
      </c>
    </row>
    <row r="24" spans="1:7" ht="12.75">
      <c r="A24" s="30" t="s">
        <v>26</v>
      </c>
      <c r="B24" s="7"/>
      <c r="C24" s="7"/>
      <c r="D24" s="29">
        <f>+IF(D145&lt;0,(1+D8)*(1+D16)*(1+D23)-1,((1+D8)*(1+D16)*(1+IF(D237&gt;1,1,D237)*D23)-1))*1.31</f>
        <v>0.4996667959481292</v>
      </c>
      <c r="E24" s="29">
        <f>+IF(E145&lt;0,(1+E8)*(1+E16)*(1+E23)-1,((1+E8)*(1+E16)*(1+IF(E237&gt;1,1,E237)*E23)-1))*1.31</f>
        <v>0.4859193282660346</v>
      </c>
      <c r="F24" s="29">
        <f>+IF(F145&lt;0,(1+F8)*(1+F16)*(1+F23)-1,((1+F8)*(1+F16)*(1+IF(F237&gt;1,1,F237)*F23)-1))*1.31</f>
        <v>0.4489220745858881</v>
      </c>
      <c r="G24" s="29">
        <f>+IF(G145&lt;0,(1+G8)*(1+G16)*(1+G23)-1,((1+G8)*(1+G16)*(1+IF(G237&gt;1,1,G237)*G23)-1))*1.31</f>
        <v>0.43438552851493045</v>
      </c>
    </row>
    <row r="25" spans="1:7" ht="22.5">
      <c r="A25" s="30" t="s">
        <v>187</v>
      </c>
      <c r="B25" s="7"/>
      <c r="C25" s="7"/>
      <c r="D25" s="29">
        <f>IF((1+D8)*(1+D16)-1=0,0,((1+D8)*(1+D16)-1))</f>
        <v>0.2932000000000001</v>
      </c>
      <c r="E25" s="29">
        <f>IF((1+E8)*(1+E16)-1=0,0,((1+E8)*(1+E16)-1))</f>
        <v>0.30380000000000007</v>
      </c>
      <c r="F25" s="29">
        <f>IF((1+F8)*(1+F16)-1=0,0,((1+F8)*(1+F16)-1))</f>
        <v>0.28259999999999996</v>
      </c>
      <c r="G25" s="29">
        <f>IF((1+G8)*(1+G16)-1=0,0,((1+G8)*(1+G16)-1))</f>
        <v>0.272</v>
      </c>
    </row>
    <row r="26" spans="1:7" ht="12.75">
      <c r="A26" s="31" t="s">
        <v>27</v>
      </c>
      <c r="B26" s="7"/>
      <c r="C26" s="7"/>
      <c r="D26" s="29">
        <f>+((D139+D141+D143)*D24+D137*D21)/(D145)</f>
        <v>0.3395412972236447</v>
      </c>
      <c r="E26" s="29">
        <f>+((E139+E141+E143)*E24+E137*E21)/(E145)</f>
        <v>0.3480909078642862</v>
      </c>
      <c r="F26" s="29">
        <f>+((F139+F141+F143)*F24+F137*F21)/(F145)</f>
        <v>0.32510358359340963</v>
      </c>
      <c r="G26" s="29">
        <f>+((G139+G141+G143)*G24+G137*G21)/(G145)</f>
        <v>0.31745664827018966</v>
      </c>
    </row>
    <row r="27" spans="1:9" ht="21">
      <c r="A27" s="31" t="s">
        <v>28</v>
      </c>
      <c r="B27" s="7"/>
      <c r="C27" s="7"/>
      <c r="D27" s="29">
        <f>MAX(D26,D25)</f>
        <v>0.3395412972236447</v>
      </c>
      <c r="E27" s="29">
        <f>MAX(E26,E25)</f>
        <v>0.3480909078642862</v>
      </c>
      <c r="F27" s="29">
        <f>MAX(F26,F25)</f>
        <v>0.32510358359340963</v>
      </c>
      <c r="G27" s="29">
        <f>MAX(G26,G25)</f>
        <v>0.31745664827018966</v>
      </c>
      <c r="I27" s="31"/>
    </row>
    <row r="28" spans="1:7" ht="12.75">
      <c r="A28" s="31" t="s">
        <v>278</v>
      </c>
      <c r="B28" s="33"/>
      <c r="C28" s="34"/>
      <c r="D28" s="29"/>
      <c r="E28" s="29"/>
      <c r="F28" s="29"/>
      <c r="G28" s="29">
        <f>+G27*1.13453409415317</f>
        <v>0.36016539087812116</v>
      </c>
    </row>
    <row r="29" spans="1:7" ht="12.75">
      <c r="A29" s="31" t="s">
        <v>279</v>
      </c>
      <c r="B29" s="33"/>
      <c r="C29" s="34"/>
      <c r="D29" s="29"/>
      <c r="E29" s="29"/>
      <c r="F29" s="29"/>
      <c r="G29" s="29">
        <v>0.101041593652658</v>
      </c>
    </row>
    <row r="30" spans="1:7" ht="12.75">
      <c r="A30" s="31" t="s">
        <v>280</v>
      </c>
      <c r="B30" s="33"/>
      <c r="C30" s="34"/>
      <c r="D30" s="29"/>
      <c r="E30" s="29"/>
      <c r="F30" s="29"/>
      <c r="G30" s="29">
        <v>0</v>
      </c>
    </row>
    <row r="31" spans="1:7" ht="12.75">
      <c r="A31" s="20" t="s">
        <v>29</v>
      </c>
      <c r="B31" s="7"/>
      <c r="C31" s="35">
        <f>6.15*EXP(-0.0001016*C14)</f>
        <v>2.945276095942186</v>
      </c>
      <c r="D31" s="36"/>
      <c r="E31" s="36"/>
      <c r="F31" s="36"/>
      <c r="G31" s="36"/>
    </row>
    <row r="32" spans="1:7" ht="12.75">
      <c r="A32" s="20" t="s">
        <v>30</v>
      </c>
      <c r="B32" s="7"/>
      <c r="C32" s="22">
        <v>0</v>
      </c>
      <c r="D32" s="129">
        <f>+FLUJO_DE_CAJA_PROYECTO!D32</f>
        <v>0.23</v>
      </c>
      <c r="E32" s="129">
        <f>+FLUJO_DE_CAJA_PROYECTO!E32</f>
        <v>0.24</v>
      </c>
      <c r="F32" s="129">
        <f>+FLUJO_DE_CAJA_PROYECTO!F32</f>
        <v>0.22</v>
      </c>
      <c r="G32" s="129">
        <f>+FLUJO_DE_CAJA_PROYECTO!G32</f>
        <v>0.22</v>
      </c>
    </row>
    <row r="33" spans="1:7" ht="54">
      <c r="A33" s="16" t="s">
        <v>31</v>
      </c>
      <c r="B33" s="17"/>
      <c r="C33" s="7"/>
      <c r="D33" s="8"/>
      <c r="E33" s="7"/>
      <c r="F33" s="7"/>
      <c r="G33" s="7"/>
    </row>
    <row r="34" spans="1:7" ht="12.75">
      <c r="A34" s="20" t="s">
        <v>32</v>
      </c>
      <c r="B34" s="7"/>
      <c r="C34" s="130">
        <f>+FLUJO_DE_CAJA_PROYECTO!C34</f>
        <v>5.6</v>
      </c>
      <c r="D34" s="39">
        <v>0</v>
      </c>
      <c r="E34" s="15">
        <v>0</v>
      </c>
      <c r="F34" s="15">
        <v>0</v>
      </c>
      <c r="G34" s="15">
        <v>0</v>
      </c>
    </row>
    <row r="35" spans="1:7" ht="12.75">
      <c r="A35" s="20" t="s">
        <v>33</v>
      </c>
      <c r="B35" s="7"/>
      <c r="C35" s="22">
        <v>0</v>
      </c>
      <c r="D35" s="129">
        <f>+FLUJO_DE_CAJA_PROYECTO!D35</f>
        <v>0.26</v>
      </c>
      <c r="E35" s="129">
        <f>+FLUJO_DE_CAJA_PROYECTO!E35</f>
        <v>0.25</v>
      </c>
      <c r="F35" s="129">
        <f>+FLUJO_DE_CAJA_PROYECTO!F35</f>
        <v>0.23</v>
      </c>
      <c r="G35" s="129">
        <f>+FLUJO_DE_CAJA_PROYECTO!G35</f>
        <v>0.21</v>
      </c>
    </row>
    <row r="36" spans="1:7" ht="51">
      <c r="A36" s="20" t="s">
        <v>34</v>
      </c>
      <c r="B36" s="7"/>
      <c r="C36" s="7"/>
      <c r="D36" s="40">
        <f>(1-0.366*((1+D35)/(1+D8)-1))</f>
        <v>0.988</v>
      </c>
      <c r="E36" s="40">
        <f>(1-0.366*((1+E35)/(1+E8)-1))</f>
        <v>0.9940487804878049</v>
      </c>
      <c r="F36" s="40">
        <f>(1-0.366*((1+F35)/(1+F8)-1))</f>
        <v>0.9939504132231405</v>
      </c>
      <c r="G36" s="40">
        <f>(1-0.366*((1+G35)/(1+G8)-1))</f>
        <v>0.99695</v>
      </c>
    </row>
    <row r="37" spans="1:7" ht="25.5">
      <c r="A37" s="20" t="s">
        <v>255</v>
      </c>
      <c r="C37" s="130">
        <f>+FLUJO_DE_CAJA_PROYECTO!C37</f>
        <v>37</v>
      </c>
      <c r="D37" s="39">
        <v>0</v>
      </c>
      <c r="E37" s="39">
        <v>0</v>
      </c>
      <c r="F37" s="39">
        <v>0</v>
      </c>
      <c r="G37" s="39">
        <v>0</v>
      </c>
    </row>
    <row r="38" spans="1:7" ht="12.75">
      <c r="A38" s="20" t="s">
        <v>256</v>
      </c>
      <c r="C38" s="22">
        <v>0</v>
      </c>
      <c r="D38" s="131">
        <f>+FLUJO_DE_CAJA_PROYECTO!D38</f>
        <v>0.25</v>
      </c>
      <c r="E38" s="131">
        <f>+FLUJO_DE_CAJA_PROYECTO!E38</f>
        <v>0.23</v>
      </c>
      <c r="F38" s="131">
        <f>+FLUJO_DE_CAJA_PROYECTO!F38</f>
        <v>0.21</v>
      </c>
      <c r="G38" s="131">
        <f>+FLUJO_DE_CAJA_PROYECTO!G38</f>
        <v>0.21</v>
      </c>
    </row>
    <row r="39" spans="1:7" ht="12.75">
      <c r="A39" s="20" t="s">
        <v>35</v>
      </c>
      <c r="B39" s="20"/>
      <c r="C39" s="130">
        <f>+FLUJO_DE_CAJA_PROYECTO!C39</f>
        <v>145</v>
      </c>
      <c r="D39" s="39">
        <v>0</v>
      </c>
      <c r="E39" s="39">
        <v>0</v>
      </c>
      <c r="F39" s="39">
        <v>0</v>
      </c>
      <c r="G39" s="39">
        <v>0</v>
      </c>
    </row>
    <row r="40" spans="1:7" ht="12.75">
      <c r="A40" s="20" t="s">
        <v>36</v>
      </c>
      <c r="B40" s="20"/>
      <c r="C40" s="22">
        <v>0</v>
      </c>
      <c r="D40" s="131">
        <f>+FLUJO_DE_CAJA_PROYECTO!D40</f>
        <v>0.23</v>
      </c>
      <c r="E40" s="131">
        <f>+FLUJO_DE_CAJA_PROYECTO!E40</f>
        <v>0.24</v>
      </c>
      <c r="F40" s="131">
        <f>+FLUJO_DE_CAJA_PROYECTO!F40</f>
        <v>0.23</v>
      </c>
      <c r="G40" s="131">
        <f>+FLUJO_DE_CAJA_PROYECTO!G40</f>
        <v>0.23</v>
      </c>
    </row>
    <row r="41" spans="1:7" ht="12.75">
      <c r="A41" s="41" t="s">
        <v>37</v>
      </c>
      <c r="B41" s="7"/>
      <c r="C41" s="42"/>
      <c r="D41" s="43"/>
      <c r="E41" s="7"/>
      <c r="F41" s="7"/>
      <c r="G41" s="7"/>
    </row>
    <row r="42" spans="1:7" ht="12.75">
      <c r="A42" s="6" t="s">
        <v>38</v>
      </c>
      <c r="B42" s="7"/>
      <c r="C42" s="130">
        <f>+FLUJO_DE_CAJA_PROYECTO!C42</f>
        <v>160</v>
      </c>
      <c r="D42" s="39">
        <v>0</v>
      </c>
      <c r="E42" s="15">
        <v>0</v>
      </c>
      <c r="F42" s="15">
        <v>0</v>
      </c>
      <c r="G42" s="15">
        <v>0</v>
      </c>
    </row>
    <row r="43" spans="1:7" ht="12.75">
      <c r="A43" s="6" t="s">
        <v>39</v>
      </c>
      <c r="B43" s="7"/>
      <c r="C43" s="130">
        <f>+FLUJO_DE_CAJA_PROYECTO!C43</f>
        <v>40</v>
      </c>
      <c r="D43" s="39">
        <v>0</v>
      </c>
      <c r="E43" s="15">
        <v>0</v>
      </c>
      <c r="F43" s="15">
        <v>0</v>
      </c>
      <c r="G43" s="15">
        <v>0</v>
      </c>
    </row>
    <row r="44" spans="1:7" ht="12.75">
      <c r="A44" s="20" t="s">
        <v>40</v>
      </c>
      <c r="B44" s="7"/>
      <c r="C44" s="22">
        <v>0</v>
      </c>
      <c r="D44" s="131">
        <f>+FLUJO_DE_CAJA_PROYECTO!D44</f>
        <v>0.25</v>
      </c>
      <c r="E44" s="131">
        <f>+FLUJO_DE_CAJA_PROYECTO!E44</f>
        <v>0.23</v>
      </c>
      <c r="F44" s="131">
        <f>+FLUJO_DE_CAJA_PROYECTO!F44</f>
        <v>0.21</v>
      </c>
      <c r="G44" s="131">
        <f>+FLUJO_DE_CAJA_PROYECTO!G44</f>
        <v>0.21</v>
      </c>
    </row>
    <row r="45" spans="1:7" ht="12.75">
      <c r="A45" s="20" t="s">
        <v>41</v>
      </c>
      <c r="B45" s="7"/>
      <c r="C45" s="22">
        <v>0</v>
      </c>
      <c r="D45" s="131">
        <f>+FLUJO_DE_CAJA_PROYECTO!D45</f>
        <v>0.03</v>
      </c>
      <c r="E45" s="131">
        <f>+FLUJO_DE_CAJA_PROYECTO!E45</f>
        <v>0.03</v>
      </c>
      <c r="F45" s="131">
        <f>+FLUJO_DE_CAJA_PROYECTO!F45</f>
        <v>0.03</v>
      </c>
      <c r="G45" s="131">
        <f>+FLUJO_DE_CAJA_PROYECTO!G45</f>
        <v>0.03</v>
      </c>
    </row>
    <row r="46" spans="1:7" ht="25.5">
      <c r="A46" s="20" t="s">
        <v>183</v>
      </c>
      <c r="B46" s="7"/>
      <c r="C46" s="127">
        <f>+FLUJO_DE_CAJA_PROYECTO!C46</f>
        <v>0.569336305442154</v>
      </c>
      <c r="D46" s="15">
        <v>0</v>
      </c>
      <c r="E46" s="15">
        <v>0</v>
      </c>
      <c r="F46" s="15">
        <v>0</v>
      </c>
      <c r="G46" s="15">
        <v>0</v>
      </c>
    </row>
    <row r="47" spans="1:7" ht="40.5">
      <c r="A47" s="16" t="s">
        <v>42</v>
      </c>
      <c r="B47" s="7"/>
      <c r="C47" s="7"/>
      <c r="D47" s="7"/>
      <c r="E47" s="7"/>
      <c r="F47" s="7"/>
      <c r="G47" s="7"/>
    </row>
    <row r="48" spans="1:7" ht="38.25">
      <c r="A48" s="20" t="s">
        <v>43</v>
      </c>
      <c r="B48" s="7"/>
      <c r="C48" s="15"/>
      <c r="D48" s="39"/>
      <c r="E48" s="39"/>
      <c r="F48" s="39"/>
      <c r="G48" s="39"/>
    </row>
    <row r="49" spans="1:7" ht="12.75">
      <c r="A49" s="20" t="s">
        <v>44</v>
      </c>
      <c r="B49" s="7"/>
      <c r="C49" s="22">
        <v>0</v>
      </c>
      <c r="D49" s="127">
        <f>+FLUJO_DE_CAJA_PROYECTO!D49</f>
        <v>0.03</v>
      </c>
      <c r="E49" s="127">
        <f>+FLUJO_DE_CAJA_PROYECTO!E49</f>
        <v>0.03</v>
      </c>
      <c r="F49" s="127">
        <f>+FLUJO_DE_CAJA_PROYECTO!F49</f>
        <v>0.03</v>
      </c>
      <c r="G49" s="127">
        <f>+FLUJO_DE_CAJA_PROYECTO!G49</f>
        <v>0.03</v>
      </c>
    </row>
    <row r="50" spans="1:7" ht="12.75">
      <c r="A50" s="20" t="s">
        <v>45</v>
      </c>
      <c r="B50" s="7"/>
      <c r="C50" s="130">
        <f>+FLUJO_DE_CAJA_PROYECTO!C50</f>
        <v>24000</v>
      </c>
      <c r="D50" s="130">
        <f>+FLUJO_DE_CAJA_PROYECTO!D50</f>
        <v>0</v>
      </c>
      <c r="E50" s="130">
        <f>+FLUJO_DE_CAJA_PROYECTO!E50</f>
        <v>0</v>
      </c>
      <c r="F50" s="130">
        <f>+FLUJO_DE_CAJA_PROYECTO!F50</f>
        <v>0</v>
      </c>
      <c r="G50" s="130">
        <f>+FLUJO_DE_CAJA_PROYECTO!G50</f>
        <v>0</v>
      </c>
    </row>
    <row r="51" spans="1:7" ht="12.75">
      <c r="A51" s="20" t="s">
        <v>46</v>
      </c>
      <c r="B51" s="7"/>
      <c r="C51" s="130">
        <f>+FLUJO_DE_CAJA_PROYECTO!C51</f>
        <v>40000</v>
      </c>
      <c r="D51" s="130">
        <f>+FLUJO_DE_CAJA_PROYECTO!D51</f>
        <v>0</v>
      </c>
      <c r="E51" s="130">
        <f>+FLUJO_DE_CAJA_PROYECTO!E51</f>
        <v>0</v>
      </c>
      <c r="F51" s="130">
        <f>+FLUJO_DE_CAJA_PROYECTO!F51</f>
        <v>0</v>
      </c>
      <c r="G51" s="130">
        <f>+FLUJO_DE_CAJA_PROYECTO!G51</f>
        <v>0</v>
      </c>
    </row>
    <row r="52" spans="1:7" ht="25.5">
      <c r="A52" s="20" t="s">
        <v>47</v>
      </c>
      <c r="B52" s="7"/>
      <c r="C52" s="133"/>
      <c r="D52" s="133"/>
      <c r="E52" s="133"/>
      <c r="F52" s="133"/>
      <c r="G52" s="133"/>
    </row>
    <row r="53" spans="1:7" ht="25.5">
      <c r="A53" s="20" t="s">
        <v>48</v>
      </c>
      <c r="B53" s="7"/>
      <c r="C53" s="130">
        <f>+FLUJO_DE_CAJA_PROYECTO!C53</f>
        <v>0</v>
      </c>
      <c r="D53" s="130">
        <f>+FLUJO_DE_CAJA_PROYECTO!D53</f>
        <v>0</v>
      </c>
      <c r="E53" s="130">
        <f>+FLUJO_DE_CAJA_PROYECTO!E53</f>
        <v>0</v>
      </c>
      <c r="F53" s="130">
        <f>+FLUJO_DE_CAJA_PROYECTO!F53</f>
        <v>0</v>
      </c>
      <c r="G53" s="130">
        <f>+FLUJO_DE_CAJA_PROYECTO!G53</f>
        <v>0</v>
      </c>
    </row>
    <row r="54" spans="1:7" ht="25.5">
      <c r="A54" s="20" t="s">
        <v>49</v>
      </c>
      <c r="B54" s="7"/>
      <c r="C54" s="22">
        <v>0</v>
      </c>
      <c r="D54" s="132">
        <f>+FLUJO_DE_CAJA_PROYECTO!D54</f>
        <v>12</v>
      </c>
      <c r="E54" s="132">
        <f>+FLUJO_DE_CAJA_PROYECTO!E54</f>
        <v>12</v>
      </c>
      <c r="F54" s="132">
        <f>+FLUJO_DE_CAJA_PROYECTO!F54</f>
        <v>12</v>
      </c>
      <c r="G54" s="132">
        <f>+FLUJO_DE_CAJA_PROYECTO!G54</f>
        <v>12</v>
      </c>
    </row>
    <row r="55" spans="1:7" ht="25.5">
      <c r="A55" s="20" t="s">
        <v>50</v>
      </c>
      <c r="B55" s="7"/>
      <c r="C55" s="22"/>
      <c r="D55" s="7"/>
      <c r="E55" s="7"/>
      <c r="F55" s="7"/>
      <c r="G55" s="7"/>
    </row>
    <row r="56" spans="1:7" ht="25.5">
      <c r="A56" s="20" t="s">
        <v>51</v>
      </c>
      <c r="B56" s="7"/>
      <c r="C56" s="22">
        <v>0</v>
      </c>
      <c r="D56" s="127">
        <f>+FLUJO_DE_CAJA_PROYECTO!D56</f>
        <v>0.95</v>
      </c>
      <c r="E56" s="127">
        <f>+FLUJO_DE_CAJA_PROYECTO!E56</f>
        <v>0.95</v>
      </c>
      <c r="F56" s="127">
        <f>+FLUJO_DE_CAJA_PROYECTO!F56</f>
        <v>0.95</v>
      </c>
      <c r="G56" s="127">
        <f>+FLUJO_DE_CAJA_PROYECTO!G56</f>
        <v>0.95</v>
      </c>
    </row>
    <row r="57" spans="1:7" ht="25.5">
      <c r="A57" s="20" t="s">
        <v>52</v>
      </c>
      <c r="B57" s="7"/>
      <c r="C57" s="22"/>
      <c r="D57" s="26">
        <f>1-D56</f>
        <v>0.050000000000000044</v>
      </c>
      <c r="E57" s="26">
        <f>1-E56</f>
        <v>0.050000000000000044</v>
      </c>
      <c r="F57" s="26">
        <f>1-F56</f>
        <v>0.050000000000000044</v>
      </c>
      <c r="G57" s="26">
        <f>1-G56</f>
        <v>0.050000000000000044</v>
      </c>
    </row>
    <row r="58" spans="1:7" ht="38.25">
      <c r="A58" s="20" t="s">
        <v>53</v>
      </c>
      <c r="B58" s="7"/>
      <c r="C58" s="22">
        <v>0</v>
      </c>
      <c r="D58" s="127">
        <f>+FLUJO_DE_CAJA_PROYECTO!D58</f>
        <v>0.9</v>
      </c>
      <c r="E58" s="127">
        <f>+FLUJO_DE_CAJA_PROYECTO!E58</f>
        <v>0.9</v>
      </c>
      <c r="F58" s="127">
        <f>+FLUJO_DE_CAJA_PROYECTO!F58</f>
        <v>0.9</v>
      </c>
      <c r="G58" s="127">
        <f>+FLUJO_DE_CAJA_PROYECTO!G58</f>
        <v>0.9</v>
      </c>
    </row>
    <row r="59" spans="1:7" ht="38.25">
      <c r="A59" s="20" t="s">
        <v>54</v>
      </c>
      <c r="B59" s="7"/>
      <c r="C59" s="7"/>
      <c r="D59" s="26">
        <f>1-D58</f>
        <v>0.09999999999999998</v>
      </c>
      <c r="E59" s="26">
        <f>1-E58</f>
        <v>0.09999999999999998</v>
      </c>
      <c r="F59" s="26">
        <f>1-F58</f>
        <v>0.09999999999999998</v>
      </c>
      <c r="G59" s="26">
        <f>1-G58</f>
        <v>0.09999999999999998</v>
      </c>
    </row>
    <row r="60" spans="1:7" ht="25.5">
      <c r="A60" s="20" t="s">
        <v>343</v>
      </c>
      <c r="B60" s="7"/>
      <c r="C60" s="22">
        <v>0</v>
      </c>
      <c r="D60" s="7">
        <v>0</v>
      </c>
      <c r="E60" s="7">
        <v>0</v>
      </c>
      <c r="F60" s="7">
        <v>0</v>
      </c>
      <c r="G60" s="130">
        <f>+FLUJO_DE_CAJA_PROYECTO!G60</f>
        <v>118088.09491279646</v>
      </c>
    </row>
    <row r="61" spans="1:7" ht="38.25">
      <c r="A61" s="20" t="s">
        <v>55</v>
      </c>
      <c r="B61" s="7"/>
      <c r="C61" s="22">
        <v>0</v>
      </c>
      <c r="D61" s="127">
        <f>+FLUJO_DE_CAJA_PROYECTO!D61</f>
        <v>0.3</v>
      </c>
      <c r="E61" s="127">
        <f>+FLUJO_DE_CAJA_PROYECTO!E61</f>
        <v>0.3</v>
      </c>
      <c r="F61" s="127">
        <f>+FLUJO_DE_CAJA_PROYECTO!F61</f>
        <v>0.3</v>
      </c>
      <c r="G61" s="127">
        <f>+FLUJO_DE_CAJA_PROYECTO!G61</f>
        <v>0.3</v>
      </c>
    </row>
    <row r="62" spans="1:7" ht="38.25">
      <c r="A62" s="20" t="s">
        <v>181</v>
      </c>
      <c r="B62" s="7"/>
      <c r="C62" s="130">
        <f>+FLUJO_DE_CAJA_PROYECTO!C62</f>
        <v>100</v>
      </c>
      <c r="D62" s="130">
        <f>+FLUJO_DE_CAJA_PROYECTO!D62</f>
        <v>110</v>
      </c>
      <c r="E62" s="130">
        <f>+FLUJO_DE_CAJA_PROYECTO!E62</f>
        <v>121</v>
      </c>
      <c r="F62" s="130">
        <f>+FLUJO_DE_CAJA_PROYECTO!F62</f>
        <v>150</v>
      </c>
      <c r="G62" s="130">
        <f>+FLUJO_DE_CAJA_PROYECTO!G62</f>
        <v>150</v>
      </c>
    </row>
    <row r="63" spans="1:7" ht="38.25">
      <c r="A63" s="20" t="s">
        <v>182</v>
      </c>
      <c r="C63" s="130">
        <f>+FLUJO_DE_CAJA_PROYECTO!C63</f>
        <v>110</v>
      </c>
      <c r="D63" s="130">
        <f>+FLUJO_DE_CAJA_PROYECTO!D63</f>
        <v>120</v>
      </c>
      <c r="E63" s="130">
        <f>+FLUJO_DE_CAJA_PROYECTO!E63</f>
        <v>131</v>
      </c>
      <c r="F63" s="130">
        <f>+FLUJO_DE_CAJA_PROYECTO!F63</f>
        <v>160</v>
      </c>
      <c r="G63" s="130">
        <f>+FLUJO_DE_CAJA_PROYECTO!G63</f>
        <v>160</v>
      </c>
    </row>
    <row r="64" spans="1:7" ht="12.75">
      <c r="A64" s="47" t="s">
        <v>56</v>
      </c>
      <c r="B64" s="7"/>
      <c r="C64" s="7"/>
      <c r="D64" s="7"/>
      <c r="E64" s="7"/>
      <c r="F64" s="7"/>
      <c r="G64" s="7"/>
    </row>
    <row r="65" spans="1:7" ht="25.5">
      <c r="A65" s="49" t="s">
        <v>57</v>
      </c>
      <c r="B65" s="7"/>
      <c r="C65" s="7"/>
      <c r="D65" s="50">
        <f>C14*D36</f>
        <v>7159.591773075289</v>
      </c>
      <c r="E65" s="3">
        <f>D65*E36*(1+E15)</f>
        <v>7615.172313773132</v>
      </c>
      <c r="F65" s="3">
        <f>E65*F36*(1+F15)</f>
        <v>7947.558851442235</v>
      </c>
      <c r="G65" s="3">
        <f>F65*G36*(1+G15)</f>
        <v>8240.251548823151</v>
      </c>
    </row>
    <row r="66" spans="1:7" ht="12.75">
      <c r="A66" s="6" t="s">
        <v>58</v>
      </c>
      <c r="B66" s="7"/>
      <c r="C66" s="7"/>
      <c r="D66" s="3"/>
      <c r="E66" s="51">
        <f>E65/D65-1</f>
        <v>0.06363219512195117</v>
      </c>
      <c r="F66" s="51">
        <f>F65/E65-1</f>
        <v>0.04364793388429744</v>
      </c>
      <c r="G66" s="51">
        <f>G65/F65-1</f>
        <v>0.03682800000000008</v>
      </c>
    </row>
    <row r="67" spans="1:7" ht="12.75">
      <c r="A67" s="6" t="s">
        <v>59</v>
      </c>
      <c r="B67" s="7"/>
      <c r="C67" s="7"/>
      <c r="D67" s="50">
        <f>D65/D54</f>
        <v>596.6326477562741</v>
      </c>
      <c r="E67" s="50">
        <f>E65/E54</f>
        <v>634.5976928144277</v>
      </c>
      <c r="F67" s="50">
        <f>F65/F54</f>
        <v>662.2965709535196</v>
      </c>
      <c r="G67" s="50">
        <f>G65/G54</f>
        <v>686.6876290685959</v>
      </c>
    </row>
    <row r="68" spans="1:7" ht="12.75">
      <c r="A68" s="6" t="s">
        <v>60</v>
      </c>
      <c r="B68" s="7"/>
      <c r="C68" s="7"/>
      <c r="D68" s="50">
        <v>0</v>
      </c>
      <c r="E68" s="50">
        <f>D67</f>
        <v>596.6326477562741</v>
      </c>
      <c r="F68" s="50">
        <f>E67</f>
        <v>634.5976928144277</v>
      </c>
      <c r="G68" s="50">
        <f>F67</f>
        <v>662.2965709535196</v>
      </c>
    </row>
    <row r="69" spans="1:7" ht="12.75">
      <c r="A69" s="6" t="s">
        <v>61</v>
      </c>
      <c r="B69" s="7"/>
      <c r="C69" s="7"/>
      <c r="D69" s="50">
        <f>D65+D67-D68</f>
        <v>7756.224420831563</v>
      </c>
      <c r="E69" s="50">
        <f>E65+E67-E68</f>
        <v>7653.137358831285</v>
      </c>
      <c r="F69" s="50">
        <f>F65+F67-F68</f>
        <v>7975.257729581327</v>
      </c>
      <c r="G69" s="50">
        <f>G65+G67-G68</f>
        <v>8264.642606938227</v>
      </c>
    </row>
    <row r="70" spans="1:7" ht="12.75">
      <c r="A70" s="6" t="s">
        <v>365</v>
      </c>
      <c r="B70" s="7"/>
      <c r="C70" s="7"/>
      <c r="D70" s="50">
        <f>+$C$51+C53</f>
        <v>40000</v>
      </c>
      <c r="E70" s="50">
        <f>+$C$51+D53</f>
        <v>40000</v>
      </c>
      <c r="F70" s="50">
        <f>+$C$51+E53</f>
        <v>40000</v>
      </c>
      <c r="G70" s="50">
        <f>+$C$51+F53</f>
        <v>40000</v>
      </c>
    </row>
    <row r="71" spans="1:7" ht="12.75">
      <c r="A71" s="6" t="s">
        <v>62</v>
      </c>
      <c r="B71" s="7"/>
      <c r="C71" s="7"/>
      <c r="D71" s="50">
        <f>+D70/5</f>
        <v>8000</v>
      </c>
      <c r="E71" s="50">
        <f>+E70/5</f>
        <v>8000</v>
      </c>
      <c r="F71" s="50">
        <f>+F70/5</f>
        <v>8000</v>
      </c>
      <c r="G71" s="50">
        <f>+G70/5</f>
        <v>8000</v>
      </c>
    </row>
    <row r="72" spans="1:7" ht="12.75">
      <c r="A72" s="6" t="s">
        <v>63</v>
      </c>
      <c r="B72" s="7"/>
      <c r="C72" s="7"/>
      <c r="D72" s="50">
        <f>+D71</f>
        <v>8000</v>
      </c>
      <c r="E72" s="50">
        <f>D72+E71</f>
        <v>16000</v>
      </c>
      <c r="F72" s="50">
        <f>E72+F71</f>
        <v>24000</v>
      </c>
      <c r="G72" s="50">
        <f>F72+G71</f>
        <v>32000</v>
      </c>
    </row>
    <row r="73" spans="1:7" ht="12.75">
      <c r="A73" s="6" t="s">
        <v>355</v>
      </c>
      <c r="B73" s="7"/>
      <c r="C73" s="7"/>
      <c r="D73" s="50">
        <f>(+C51+C53)*(1+D8)</f>
        <v>48800</v>
      </c>
      <c r="E73" s="50">
        <f>(+$C$51+D53)*(1+E8)*(1+D8)</f>
        <v>60024</v>
      </c>
      <c r="F73" s="50">
        <f>(+$C$51+E53)*(1+F8)*(1+E8)*(1+D8)</f>
        <v>72629.04</v>
      </c>
      <c r="G73" s="50">
        <f>(+$C$51+F53)*(1+G8)*(1+F8)*(1+E8)*(1+D8)</f>
        <v>87154.848</v>
      </c>
    </row>
    <row r="74" spans="1:7" ht="12.75">
      <c r="A74" s="6" t="s">
        <v>366</v>
      </c>
      <c r="B74" s="7"/>
      <c r="C74" s="7"/>
      <c r="D74" s="50">
        <f>+D73-D70</f>
        <v>8800</v>
      </c>
      <c r="E74" s="50">
        <f>+E73-E70</f>
        <v>20024</v>
      </c>
      <c r="F74" s="50">
        <f>+F73-F70</f>
        <v>32629.039999999994</v>
      </c>
      <c r="G74" s="50">
        <f>+G73-G70</f>
        <v>47154.848</v>
      </c>
    </row>
    <row r="75" spans="1:7" ht="12.75">
      <c r="A75" s="6" t="s">
        <v>353</v>
      </c>
      <c r="B75" s="7"/>
      <c r="C75" s="7"/>
      <c r="D75" s="50">
        <f>+D73/5</f>
        <v>9760</v>
      </c>
      <c r="E75" s="50">
        <f>+E73/5</f>
        <v>12004.8</v>
      </c>
      <c r="F75" s="50">
        <f>+F73/5</f>
        <v>14525.807999999999</v>
      </c>
      <c r="G75" s="50">
        <f>+G73/5</f>
        <v>17430.9696</v>
      </c>
    </row>
    <row r="76" spans="1:7" ht="12.75">
      <c r="A76" s="6" t="s">
        <v>369</v>
      </c>
      <c r="B76" s="7"/>
      <c r="C76" s="7"/>
      <c r="D76" s="50">
        <f>+D75-D71</f>
        <v>1760</v>
      </c>
      <c r="E76" s="50">
        <f>+E75-E71</f>
        <v>4004.7999999999993</v>
      </c>
      <c r="F76" s="50">
        <f>+F75-F71</f>
        <v>6525.807999999999</v>
      </c>
      <c r="G76" s="50">
        <f>+G75-G71</f>
        <v>9430.9696</v>
      </c>
    </row>
    <row r="77" spans="1:7" ht="12.75">
      <c r="A77" s="6" t="s">
        <v>354</v>
      </c>
      <c r="B77" s="7"/>
      <c r="C77" s="7"/>
      <c r="D77" s="50">
        <f>D75</f>
        <v>9760</v>
      </c>
      <c r="E77" s="50">
        <f>+E75+D77*(1+E8)</f>
        <v>24009.6</v>
      </c>
      <c r="F77" s="50">
        <f>+F75+E77*(1+F8)</f>
        <v>43577.424</v>
      </c>
      <c r="G77" s="50">
        <f>+G75+F77*(1+G8)</f>
        <v>69723.8784</v>
      </c>
    </row>
    <row r="78" spans="1:7" ht="12.75">
      <c r="A78" s="6" t="s">
        <v>367</v>
      </c>
      <c r="B78" s="7"/>
      <c r="C78" s="7"/>
      <c r="D78" s="50">
        <f>+D77-D72</f>
        <v>1760</v>
      </c>
      <c r="E78" s="50">
        <f>+E77-E72</f>
        <v>8009.5999999999985</v>
      </c>
      <c r="F78" s="50">
        <f>+F77-F72</f>
        <v>19577.424</v>
      </c>
      <c r="G78" s="50">
        <f>+G77-G72</f>
        <v>37723.8784</v>
      </c>
    </row>
    <row r="79" spans="1:7" ht="12.75">
      <c r="A79" s="6" t="s">
        <v>382</v>
      </c>
      <c r="B79" s="7"/>
      <c r="C79" s="7"/>
      <c r="D79" s="50"/>
      <c r="E79" s="50">
        <f>+D77*E8</f>
        <v>2244.8</v>
      </c>
      <c r="F79" s="50">
        <f>+E77*F8</f>
        <v>5042.016</v>
      </c>
      <c r="G79" s="50">
        <f>+F77*G8</f>
        <v>8715.4848</v>
      </c>
    </row>
    <row r="80" spans="1:7" ht="12.75">
      <c r="A80" s="6" t="s">
        <v>364</v>
      </c>
      <c r="B80" s="7"/>
      <c r="C80" s="7"/>
      <c r="D80" s="50">
        <f>+D73-D70-D78</f>
        <v>7040</v>
      </c>
      <c r="E80" s="50">
        <f>+E73-E70-E78</f>
        <v>12014.400000000001</v>
      </c>
      <c r="F80" s="50">
        <f>+F73-F70-F78</f>
        <v>13051.615999999995</v>
      </c>
      <c r="G80" s="50">
        <f>+G73-G70-G78</f>
        <v>9430.969599999997</v>
      </c>
    </row>
    <row r="81" spans="1:7" ht="12.75">
      <c r="A81" s="6" t="s">
        <v>377</v>
      </c>
      <c r="B81" s="7"/>
      <c r="C81" s="7"/>
      <c r="D81" s="137">
        <f>+D70-D72</f>
        <v>32000</v>
      </c>
      <c r="E81" s="137">
        <f>+E70-E72</f>
        <v>24000</v>
      </c>
      <c r="F81" s="137">
        <f>+F70-F72</f>
        <v>16000</v>
      </c>
      <c r="G81" s="137">
        <f>+G70-G72</f>
        <v>8000</v>
      </c>
    </row>
    <row r="82" spans="1:7" ht="12.75">
      <c r="A82" s="6" t="s">
        <v>378</v>
      </c>
      <c r="B82" s="7"/>
      <c r="C82" s="7"/>
      <c r="D82" s="138">
        <f>+D73-D77</f>
        <v>39040</v>
      </c>
      <c r="E82" s="138">
        <f>+E73-E77</f>
        <v>36014.4</v>
      </c>
      <c r="F82" s="138">
        <f>+F73-F77</f>
        <v>29051.615999999995</v>
      </c>
      <c r="G82" s="138">
        <f>+G73-G77</f>
        <v>17430.969599999997</v>
      </c>
    </row>
    <row r="83" spans="1:7" ht="12.75">
      <c r="A83" s="6" t="s">
        <v>379</v>
      </c>
      <c r="B83" s="7"/>
      <c r="C83" s="7"/>
      <c r="D83" s="138">
        <f>+D82-D81</f>
        <v>7040</v>
      </c>
      <c r="E83" s="138">
        <f>+E82-E81</f>
        <v>12014.400000000001</v>
      </c>
      <c r="F83" s="138">
        <f>+F82-F81</f>
        <v>13051.615999999995</v>
      </c>
      <c r="G83" s="138">
        <f>+G82-G81</f>
        <v>9430.969599999997</v>
      </c>
    </row>
    <row r="84" spans="1:7" ht="25.5">
      <c r="A84" s="103" t="s">
        <v>380</v>
      </c>
      <c r="D84" s="138">
        <f>+D83+D76</f>
        <v>8800</v>
      </c>
      <c r="E84" s="138">
        <f>+E83+E76</f>
        <v>16019.2</v>
      </c>
      <c r="F84" s="138">
        <f>+F83+F76</f>
        <v>19577.42399999999</v>
      </c>
      <c r="G84" s="138">
        <f>+G83+G76</f>
        <v>18861.939199999997</v>
      </c>
    </row>
    <row r="85" spans="1:7" ht="12.75">
      <c r="A85" s="103"/>
      <c r="D85" s="138"/>
      <c r="E85" s="138"/>
      <c r="F85" s="138"/>
      <c r="G85" s="138"/>
    </row>
    <row r="86" spans="1:7" ht="12.75">
      <c r="A86" s="6" t="s">
        <v>64</v>
      </c>
      <c r="B86" s="7"/>
      <c r="C86" s="7"/>
      <c r="D86" s="50">
        <f>C34*(1+$D$35)</f>
        <v>7.055999999999999</v>
      </c>
      <c r="E86" s="50">
        <f>D86*(1+$E$35)</f>
        <v>8.819999999999999</v>
      </c>
      <c r="F86" s="50">
        <f>E86*(1+F35)</f>
        <v>10.848599999999998</v>
      </c>
      <c r="G86" s="50">
        <f>F86*(1+G35)</f>
        <v>13.126805999999997</v>
      </c>
    </row>
    <row r="87" spans="1:7" ht="12.75">
      <c r="A87" s="6" t="s">
        <v>65</v>
      </c>
      <c r="B87" s="7"/>
      <c r="C87" s="7"/>
      <c r="D87" s="50">
        <f>6.15*EXP(-0.0001016*D69)*(1+$D$32)</f>
        <v>3.4398705850280957</v>
      </c>
      <c r="E87" s="50">
        <f>6.15*EXP(-0.0001016*E69)*(1+$E$32)*(1+D32)</f>
        <v>4.3103489993408655</v>
      </c>
      <c r="F87" s="50">
        <f>6.15*EXP(-0.0001016*F69)*(1+F32)*(1+E32)*(1+D32)</f>
        <v>5.089310217758654</v>
      </c>
      <c r="G87" s="50">
        <f>6.15*EXP(-0.0001016*G69)*(1+G32)*(1+F32)*(1+E32)*(1+D32)</f>
        <v>6.02906330445756</v>
      </c>
    </row>
    <row r="88" spans="1:7" ht="12.75">
      <c r="A88" s="6" t="s">
        <v>66</v>
      </c>
      <c r="B88" s="7"/>
      <c r="C88" s="7"/>
      <c r="D88" s="51">
        <f>1-D87/D86</f>
        <v>0.5124899964529341</v>
      </c>
      <c r="E88" s="51">
        <f>1-E87/E86</f>
        <v>0.5112982993944597</v>
      </c>
      <c r="F88" s="51">
        <f>1-F87/F86</f>
        <v>0.5308786186458478</v>
      </c>
      <c r="G88" s="51">
        <f>1-G87/G86</f>
        <v>0.5407059947059809</v>
      </c>
    </row>
    <row r="89" spans="1:7" ht="12.75">
      <c r="A89" s="41" t="s">
        <v>67</v>
      </c>
      <c r="B89" s="7"/>
      <c r="C89" s="7"/>
      <c r="D89" s="50"/>
      <c r="E89" s="50"/>
      <c r="F89" s="50"/>
      <c r="G89" s="50"/>
    </row>
    <row r="90" spans="1:7" ht="12.75">
      <c r="A90" s="6" t="s">
        <v>38</v>
      </c>
      <c r="B90" s="7"/>
      <c r="C90" s="7"/>
      <c r="D90" s="50">
        <f>C42*(1+D44)*12</f>
        <v>2400</v>
      </c>
      <c r="E90" s="50">
        <f>D90*(1+E44)</f>
        <v>2952</v>
      </c>
      <c r="F90" s="50">
        <f>E90*(1+F44)</f>
        <v>3571.92</v>
      </c>
      <c r="G90" s="50">
        <f>F90*(1+G44)</f>
        <v>4322.0232</v>
      </c>
    </row>
    <row r="91" spans="1:7" ht="12.75">
      <c r="A91" s="6" t="s">
        <v>68</v>
      </c>
      <c r="B91" s="7"/>
      <c r="C91" s="7"/>
      <c r="D91" s="50">
        <f>D90/12</f>
        <v>200</v>
      </c>
      <c r="E91" s="50">
        <f>E90/12</f>
        <v>246</v>
      </c>
      <c r="F91" s="50">
        <f>F90/12</f>
        <v>297.66</v>
      </c>
      <c r="G91" s="50">
        <f>G90/12</f>
        <v>360.16859999999997</v>
      </c>
    </row>
    <row r="92" spans="1:7" ht="12.75">
      <c r="A92" s="6" t="s">
        <v>69</v>
      </c>
      <c r="B92" s="7"/>
      <c r="C92" s="7"/>
      <c r="D92" s="50">
        <f>$C$43*12*(1+D44)</f>
        <v>600</v>
      </c>
      <c r="E92" s="50">
        <f>D92*(1+E44)</f>
        <v>738</v>
      </c>
      <c r="F92" s="50">
        <f>E92*(1+F44)</f>
        <v>892.98</v>
      </c>
      <c r="G92" s="50">
        <f>F92*(1+G44)</f>
        <v>1080.5058</v>
      </c>
    </row>
    <row r="93" spans="1:7" ht="12.75">
      <c r="A93" s="6" t="s">
        <v>70</v>
      </c>
      <c r="B93" s="7"/>
      <c r="C93" s="7"/>
      <c r="D93" s="50">
        <f>D86*D65*D45</f>
        <v>1515.5423865245768</v>
      </c>
      <c r="E93" s="50">
        <f>E86*E65*E45</f>
        <v>2014.9745942243703</v>
      </c>
      <c r="F93" s="50">
        <f>F86*F65*F45</f>
        <v>2586.596608672686</v>
      </c>
      <c r="G93" s="50">
        <f>G86*G65*G45</f>
        <v>3245.0455041780297</v>
      </c>
    </row>
    <row r="94" spans="1:7" ht="12.75">
      <c r="A94" s="6" t="s">
        <v>71</v>
      </c>
      <c r="B94" s="7"/>
      <c r="C94" s="7"/>
      <c r="D94" s="50">
        <f>(D93+D92)/12</f>
        <v>176.29519887704805</v>
      </c>
      <c r="E94" s="50">
        <f>(E93+E92)/12</f>
        <v>229.41454951869753</v>
      </c>
      <c r="F94" s="50">
        <f>(F93+F92)/12</f>
        <v>289.9647173893905</v>
      </c>
      <c r="G94" s="50">
        <f>(G93+G92)/12</f>
        <v>360.46260868150245</v>
      </c>
    </row>
    <row r="95" spans="1:7" ht="12.75">
      <c r="A95" s="52" t="s">
        <v>180</v>
      </c>
      <c r="B95" s="53"/>
      <c r="C95" s="53"/>
      <c r="D95" s="50">
        <f>(C46-1/12)*(D93+D92+D90)</f>
        <v>2194.5670205343013</v>
      </c>
      <c r="E95" s="50">
        <f>(C46-1/12)*(E93+E92+E90)</f>
        <v>2772.634608598357</v>
      </c>
      <c r="F95" s="50">
        <f>($C$46-1/12)*(F93+F92+F90)</f>
        <v>3427.048309630195</v>
      </c>
      <c r="G95" s="50">
        <f>($C$46-1/12)*(G93+G92+G90)</f>
        <v>4202.7469105629825</v>
      </c>
    </row>
    <row r="96" spans="1:7" ht="12.75">
      <c r="A96" s="6" t="s">
        <v>254</v>
      </c>
      <c r="B96" s="6"/>
      <c r="C96" s="7"/>
      <c r="D96" s="50">
        <f>C37*12*(1+D38)</f>
        <v>555</v>
      </c>
      <c r="E96" s="50">
        <f>D96*(1+E38)</f>
        <v>682.65</v>
      </c>
      <c r="F96" s="50">
        <f>E96*(1+F38)</f>
        <v>826.0065</v>
      </c>
      <c r="G96" s="50">
        <f>F96*(1+G38)</f>
        <v>999.467865</v>
      </c>
    </row>
    <row r="97" spans="1:7" ht="12.75">
      <c r="A97" s="6" t="s">
        <v>72</v>
      </c>
      <c r="B97" s="6"/>
      <c r="C97" s="7"/>
      <c r="D97" s="50">
        <f>C39*12*(1+D40)</f>
        <v>2140.2</v>
      </c>
      <c r="E97" s="50">
        <f>D97*(1+E40)</f>
        <v>2653.848</v>
      </c>
      <c r="F97" s="50">
        <f>E97*(1+F40)</f>
        <v>3264.23304</v>
      </c>
      <c r="G97" s="50">
        <f>F97*(1+G40)</f>
        <v>4015.0066392</v>
      </c>
    </row>
    <row r="98" spans="1:7" ht="12.75">
      <c r="A98" s="6" t="s">
        <v>73</v>
      </c>
      <c r="B98" s="7"/>
      <c r="C98" s="7"/>
      <c r="D98" s="50">
        <f>D65*D86*D49</f>
        <v>1515.5423865245768</v>
      </c>
      <c r="E98" s="50">
        <f>E65*E86*E49</f>
        <v>2014.9745942243703</v>
      </c>
      <c r="F98" s="50">
        <f>F65*F86*F49</f>
        <v>2586.596608672686</v>
      </c>
      <c r="G98" s="50">
        <f>G65*G86*G49</f>
        <v>3245.0455041780297</v>
      </c>
    </row>
    <row r="99" spans="1:7" ht="12.75">
      <c r="A99" s="52" t="s">
        <v>74</v>
      </c>
      <c r="B99" s="53"/>
      <c r="C99" s="53"/>
      <c r="D99" s="33">
        <f>D20*(SUM($C$230:C230)-SUM($C$231:C231))</f>
        <v>5244.208562504537</v>
      </c>
      <c r="E99" s="33">
        <f>E20*(SUM($C$230:D230)-SUM($C$231:D231))</f>
        <v>2606.5612984712157</v>
      </c>
      <c r="F99" s="33">
        <f>F20*(SUM($C$230:E230)-SUM($C$231:E231))</f>
        <v>36.316736536193076</v>
      </c>
      <c r="G99" s="33">
        <f>G20*(SUM($C$230:F230)-SUM($C$231:F231))</f>
        <v>0</v>
      </c>
    </row>
    <row r="100" spans="1:7" ht="12.75">
      <c r="A100" s="52"/>
      <c r="B100" s="53"/>
      <c r="C100" s="53"/>
      <c r="D100" s="33"/>
      <c r="E100" s="33"/>
      <c r="F100" s="33"/>
      <c r="G100" s="33"/>
    </row>
    <row r="101" spans="1:7" ht="12.75">
      <c r="A101" s="52"/>
      <c r="B101" s="53"/>
      <c r="C101" s="53"/>
      <c r="D101" s="33"/>
      <c r="E101" s="33"/>
      <c r="F101" s="33"/>
      <c r="G101" s="33"/>
    </row>
    <row r="102" spans="1:7" ht="12.75">
      <c r="A102" s="52"/>
      <c r="B102" s="53"/>
      <c r="C102" s="53"/>
      <c r="D102" s="33"/>
      <c r="E102" s="33"/>
      <c r="F102" s="33"/>
      <c r="G102" s="33"/>
    </row>
    <row r="103" spans="1:7" ht="12.75">
      <c r="A103" s="52"/>
      <c r="B103" s="53"/>
      <c r="C103" s="53"/>
      <c r="D103" s="33"/>
      <c r="E103" s="33"/>
      <c r="F103" s="33"/>
      <c r="G103" s="33"/>
    </row>
    <row r="104" spans="1:7" ht="12.75">
      <c r="A104" s="52"/>
      <c r="B104" s="53"/>
      <c r="C104" s="53"/>
      <c r="D104" s="33"/>
      <c r="E104" s="33"/>
      <c r="F104" s="33"/>
      <c r="G104" s="33"/>
    </row>
    <row r="105" spans="1:7" ht="12.75">
      <c r="A105" s="52"/>
      <c r="B105" s="53"/>
      <c r="C105" s="53"/>
      <c r="D105" s="33"/>
      <c r="E105" s="33"/>
      <c r="F105" s="33"/>
      <c r="G105" s="33"/>
    </row>
    <row r="106" spans="1:7" ht="12.75">
      <c r="A106" s="52"/>
      <c r="B106" s="53"/>
      <c r="C106" s="53"/>
      <c r="D106" s="33"/>
      <c r="E106" s="33"/>
      <c r="F106" s="33"/>
      <c r="G106" s="33"/>
    </row>
    <row r="107" spans="1:7" ht="12.75">
      <c r="A107" s="52"/>
      <c r="B107" s="53"/>
      <c r="C107" s="53"/>
      <c r="D107" s="33"/>
      <c r="E107" s="33"/>
      <c r="F107" s="33"/>
      <c r="G107" s="33"/>
    </row>
    <row r="108" spans="1:7" ht="12.75">
      <c r="A108" s="52"/>
      <c r="B108" s="53"/>
      <c r="C108" s="53"/>
      <c r="D108" s="33"/>
      <c r="E108" s="33"/>
      <c r="F108" s="33"/>
      <c r="G108" s="33"/>
    </row>
    <row r="109" spans="1:7" ht="12.75">
      <c r="A109" s="52"/>
      <c r="B109" s="53"/>
      <c r="C109" s="53"/>
      <c r="D109" s="33"/>
      <c r="E109" s="33"/>
      <c r="F109" s="33"/>
      <c r="G109" s="33"/>
    </row>
    <row r="110" spans="1:7" ht="12.75">
      <c r="A110" s="52"/>
      <c r="B110" s="53"/>
      <c r="C110" s="53"/>
      <c r="D110" s="33"/>
      <c r="E110" s="33"/>
      <c r="F110" s="33"/>
      <c r="G110" s="33"/>
    </row>
    <row r="111" spans="1:7" ht="12.75">
      <c r="A111" s="53" t="s">
        <v>362</v>
      </c>
      <c r="B111" s="53"/>
      <c r="C111" s="53"/>
      <c r="D111" s="91">
        <f>+D8</f>
        <v>0.22</v>
      </c>
      <c r="E111" s="91">
        <f>+E8</f>
        <v>0.23</v>
      </c>
      <c r="F111" s="91">
        <f>+F8</f>
        <v>0.21</v>
      </c>
      <c r="G111" s="91">
        <f>+G8</f>
        <v>0.2</v>
      </c>
    </row>
    <row r="112" spans="1:7" ht="13.5" thickBot="1">
      <c r="A112" s="54" t="s">
        <v>75</v>
      </c>
      <c r="B112" s="53"/>
      <c r="C112" s="53"/>
      <c r="D112" s="33"/>
      <c r="E112" s="33"/>
      <c r="F112" s="33"/>
      <c r="G112" s="33"/>
    </row>
    <row r="113" spans="1:7" ht="12.75">
      <c r="A113" s="53"/>
      <c r="B113" s="53"/>
      <c r="C113" s="53"/>
      <c r="D113" s="33"/>
      <c r="E113" s="33"/>
      <c r="F113" s="33"/>
      <c r="G113" s="33"/>
    </row>
    <row r="114" spans="1:7" ht="14.25" thickBot="1">
      <c r="A114" s="55" t="s">
        <v>76</v>
      </c>
      <c r="B114" s="53"/>
      <c r="C114" s="56"/>
      <c r="D114" s="33"/>
      <c r="E114" s="33"/>
      <c r="F114" s="33"/>
      <c r="G114" s="33"/>
    </row>
    <row r="115" spans="1:7" ht="13.5" thickTop="1">
      <c r="A115" s="53"/>
      <c r="B115" s="33"/>
      <c r="C115" s="33"/>
      <c r="D115" s="33"/>
      <c r="E115" s="33"/>
      <c r="F115" s="33"/>
      <c r="G115" s="33"/>
    </row>
    <row r="116" spans="1:7" ht="12.75">
      <c r="A116" s="52" t="s">
        <v>77</v>
      </c>
      <c r="B116" s="33"/>
      <c r="C116" s="33">
        <f>C235</f>
        <v>110</v>
      </c>
      <c r="D116" s="33">
        <f>D235</f>
        <v>110</v>
      </c>
      <c r="E116" s="33">
        <f>E235</f>
        <v>121</v>
      </c>
      <c r="F116" s="33">
        <f>F235</f>
        <v>150</v>
      </c>
      <c r="G116" s="33">
        <f>G235</f>
        <v>70059.7303595779</v>
      </c>
    </row>
    <row r="117" spans="1:7" ht="12.75">
      <c r="A117" s="52" t="s">
        <v>78</v>
      </c>
      <c r="B117" s="33"/>
      <c r="C117" s="33"/>
      <c r="D117" s="33">
        <f>SUM(E190:G190)</f>
        <v>2525.9039775409638</v>
      </c>
      <c r="E117" s="33">
        <f>SUM(F191:G191)</f>
        <v>3358.2909903739564</v>
      </c>
      <c r="F117" s="102">
        <f>SUM(G192:G192)</f>
        <v>4310.994347787811</v>
      </c>
      <c r="G117" s="33">
        <f>SUM(H193:H193)</f>
        <v>5408.409173630062</v>
      </c>
    </row>
    <row r="118" spans="1:7" ht="12.75">
      <c r="A118" s="52" t="s">
        <v>79</v>
      </c>
      <c r="B118" s="33"/>
      <c r="C118" s="33"/>
      <c r="D118" s="33">
        <f>D158</f>
        <v>2052.3390950842363</v>
      </c>
      <c r="E118" s="33">
        <f>E158</f>
        <v>2735.33753020669</v>
      </c>
      <c r="F118" s="33">
        <f>F158</f>
        <v>3370.6327057402664</v>
      </c>
      <c r="G118" s="33">
        <f>G158</f>
        <v>4140.083186042437</v>
      </c>
    </row>
    <row r="119" spans="1:7" ht="12.75">
      <c r="A119" s="52" t="s">
        <v>80</v>
      </c>
      <c r="B119" s="33"/>
      <c r="C119" s="33">
        <f>SUM($C232)-SUM($C196)</f>
        <v>0</v>
      </c>
      <c r="D119" s="33">
        <f>SUM($C232:D232)-SUM($C196:D196)</f>
        <v>0</v>
      </c>
      <c r="E119" s="33">
        <f>SUM($C232:E232)-SUM($C196:E196)</f>
        <v>7496.044264685501</v>
      </c>
      <c r="F119" s="33">
        <f>SUM($C232:F232)-SUM($C196:F196)</f>
        <v>32866.10391431081</v>
      </c>
      <c r="G119" s="33">
        <f>SUM($C232:G232)-SUM($C196:G196)</f>
        <v>0</v>
      </c>
    </row>
    <row r="120" spans="1:7" ht="12.75">
      <c r="A120" s="52" t="s">
        <v>81</v>
      </c>
      <c r="B120" s="33"/>
      <c r="C120" s="33">
        <f>+C174-C197</f>
        <v>0</v>
      </c>
      <c r="D120" s="33">
        <f>+D174-D197</f>
        <v>0</v>
      </c>
      <c r="E120" s="33">
        <f>+E174-E197</f>
        <v>0</v>
      </c>
      <c r="F120" s="33">
        <f>+F174-F197</f>
        <v>0</v>
      </c>
      <c r="G120" s="33">
        <f>+G174-G197</f>
        <v>0</v>
      </c>
    </row>
    <row r="121" spans="1:7" ht="12.75">
      <c r="A121" s="52" t="s">
        <v>361</v>
      </c>
      <c r="B121" s="33"/>
      <c r="C121" s="33"/>
      <c r="D121" s="33"/>
      <c r="E121" s="33"/>
      <c r="F121" s="33"/>
      <c r="G121" s="33"/>
    </row>
    <row r="122" spans="1:7" ht="12.75">
      <c r="A122" s="52" t="s">
        <v>82</v>
      </c>
      <c r="B122" s="33"/>
      <c r="C122" s="33">
        <f>($C$51+$C$53)</f>
        <v>40000</v>
      </c>
      <c r="D122" s="2">
        <f>(+C122)+D51+D53</f>
        <v>40000</v>
      </c>
      <c r="E122" s="2">
        <f>(+D122)+E51+E53</f>
        <v>40000</v>
      </c>
      <c r="F122" s="2">
        <f>(+E122)+F51+F53</f>
        <v>40000</v>
      </c>
      <c r="G122" s="2">
        <f>(+F122)+G51+G53</f>
        <v>40000</v>
      </c>
    </row>
    <row r="123" spans="1:7" ht="12.75">
      <c r="A123" s="52" t="s">
        <v>356</v>
      </c>
      <c r="B123" s="33"/>
      <c r="C123" s="33"/>
      <c r="D123" s="2">
        <f>+D74*$D$5</f>
        <v>8800</v>
      </c>
      <c r="E123" s="2">
        <f>+E74*$D$5</f>
        <v>20024</v>
      </c>
      <c r="F123" s="2">
        <f>+F74*$D$5</f>
        <v>32629.039999999994</v>
      </c>
      <c r="G123" s="2">
        <f>+G74*$D$5</f>
        <v>47154.848</v>
      </c>
    </row>
    <row r="124" spans="1:7" ht="12.75">
      <c r="A124" s="52" t="s">
        <v>63</v>
      </c>
      <c r="B124" s="33"/>
      <c r="C124" s="33"/>
      <c r="D124" s="33">
        <f>+D72</f>
        <v>8000</v>
      </c>
      <c r="E124" s="33">
        <f>+E72</f>
        <v>16000</v>
      </c>
      <c r="F124" s="33">
        <f>+F72</f>
        <v>24000</v>
      </c>
      <c r="G124" s="33">
        <f>+G72</f>
        <v>32000</v>
      </c>
    </row>
    <row r="125" spans="1:7" ht="12.75">
      <c r="A125" s="52" t="s">
        <v>357</v>
      </c>
      <c r="B125" s="33"/>
      <c r="C125" s="33"/>
      <c r="D125" s="33">
        <f>+D78*$D$5</f>
        <v>1760</v>
      </c>
      <c r="E125" s="33">
        <f>+E78*$D$5</f>
        <v>8009.5999999999985</v>
      </c>
      <c r="F125" s="33">
        <f>+F78*$D$5</f>
        <v>19577.424</v>
      </c>
      <c r="G125" s="33">
        <f>+G78*$D$5</f>
        <v>37723.8784</v>
      </c>
    </row>
    <row r="126" spans="1:7" ht="12.75">
      <c r="A126" s="52" t="s">
        <v>83</v>
      </c>
      <c r="B126" s="33"/>
      <c r="C126" s="33">
        <f>C122-C124</f>
        <v>40000</v>
      </c>
      <c r="D126" s="33">
        <f>(D122-D124)</f>
        <v>32000</v>
      </c>
      <c r="E126" s="33">
        <f>E122-E124</f>
        <v>24000</v>
      </c>
      <c r="F126" s="33">
        <f>F122-F124</f>
        <v>16000</v>
      </c>
      <c r="G126" s="33">
        <f>G122-G124</f>
        <v>8000</v>
      </c>
    </row>
    <row r="127" spans="1:7" ht="12.75">
      <c r="A127" s="52" t="s">
        <v>368</v>
      </c>
      <c r="B127" s="33"/>
      <c r="C127" s="33"/>
      <c r="D127" s="33">
        <f>(+D123-D125)*$D$5</f>
        <v>7040</v>
      </c>
      <c r="E127" s="33">
        <f>(+E123-E125)*$D$5</f>
        <v>12014.400000000001</v>
      </c>
      <c r="F127" s="33">
        <f>(+F123-F125)*$D$5</f>
        <v>13051.615999999995</v>
      </c>
      <c r="G127" s="33">
        <f>(+G123-G125)*$D$5</f>
        <v>9430.969599999997</v>
      </c>
    </row>
    <row r="128" spans="1:7" ht="12.75">
      <c r="A128" s="34" t="s">
        <v>0</v>
      </c>
      <c r="B128" s="33"/>
      <c r="C128" s="34">
        <f>C126+C118+C117+C116+C119+C120+C127</f>
        <v>40110</v>
      </c>
      <c r="D128" s="34">
        <f>D126+D118+D117+D116+D119+D120+D127</f>
        <v>43728.2430726252</v>
      </c>
      <c r="E128" s="34">
        <f>E126+E118+E117+E116+E119+E120+E127</f>
        <v>49725.072785266144</v>
      </c>
      <c r="F128" s="34">
        <f>F126+F118+F117+F116+F119+F120+F127</f>
        <v>69749.34696783888</v>
      </c>
      <c r="G128" s="34">
        <f>G126+G118+G117+G116+G119+G120+G127</f>
        <v>97039.19231925039</v>
      </c>
    </row>
    <row r="129" spans="1:7" ht="12.75">
      <c r="A129" s="53" t="s">
        <v>93</v>
      </c>
      <c r="B129" s="33"/>
      <c r="C129" s="33" t="str">
        <f>+C146</f>
        <v>Correcto</v>
      </c>
      <c r="D129" s="33" t="str">
        <f>+D146</f>
        <v>Correcto</v>
      </c>
      <c r="E129" s="33" t="str">
        <f>+E146</f>
        <v>Correcto</v>
      </c>
      <c r="F129" s="33" t="str">
        <f>+F146</f>
        <v>Correcto</v>
      </c>
      <c r="G129" s="33" t="str">
        <f>+G146</f>
        <v>Correcto</v>
      </c>
    </row>
    <row r="130" spans="1:7" ht="14.25" thickBot="1">
      <c r="A130" s="55" t="s">
        <v>84</v>
      </c>
      <c r="B130" s="33" t="s">
        <v>363</v>
      </c>
      <c r="C130" s="33"/>
      <c r="D130" s="33">
        <f>+D145-D128</f>
        <v>0</v>
      </c>
      <c r="E130" s="33">
        <f>+E145-E128</f>
        <v>0</v>
      </c>
      <c r="F130" s="33">
        <f>+F145-F128</f>
        <v>0</v>
      </c>
      <c r="G130" s="33">
        <f>+G145-G128</f>
        <v>0</v>
      </c>
    </row>
    <row r="131" spans="1:7" ht="13.5" thickTop="1">
      <c r="A131" s="53"/>
      <c r="B131" s="33"/>
      <c r="C131" s="33"/>
      <c r="D131" s="33"/>
      <c r="E131" s="33"/>
      <c r="F131" s="33"/>
      <c r="G131" s="33"/>
    </row>
    <row r="132" spans="1:7" ht="12.75">
      <c r="A132" s="52" t="s">
        <v>86</v>
      </c>
      <c r="B132" s="33"/>
      <c r="C132" s="33"/>
      <c r="D132" s="33">
        <f>E206</f>
        <v>2668.0408236095063</v>
      </c>
      <c r="E132" s="33">
        <f>F207</f>
        <v>3298.769295645663</v>
      </c>
      <c r="F132" s="33">
        <f>G208</f>
        <v>4058.8560652416927</v>
      </c>
      <c r="G132" s="33">
        <f>J209</f>
        <v>4982.805346594774</v>
      </c>
    </row>
    <row r="133" spans="1:7" ht="12.75">
      <c r="A133" s="52" t="s">
        <v>87</v>
      </c>
      <c r="B133" s="33"/>
      <c r="C133" s="33"/>
      <c r="D133" s="33">
        <f>E216</f>
        <v>214.01999999999992</v>
      </c>
      <c r="E133" s="33">
        <f>F217</f>
        <v>265.3847999999998</v>
      </c>
      <c r="F133" s="33">
        <f>G218</f>
        <v>326.4233039999999</v>
      </c>
      <c r="G133" s="33">
        <f>J219</f>
        <v>401.5006639200001</v>
      </c>
    </row>
    <row r="134" spans="1:7" ht="12.75">
      <c r="A134" s="52" t="s">
        <v>88</v>
      </c>
      <c r="B134" s="33"/>
      <c r="C134" s="33"/>
      <c r="D134" s="33">
        <f>E212</f>
        <v>376.29519887704805</v>
      </c>
      <c r="E134" s="33">
        <f>F212</f>
        <v>475.4145495186975</v>
      </c>
      <c r="F134" s="33">
        <f>G212</f>
        <v>587.6247173893905</v>
      </c>
      <c r="G134" s="33">
        <f>J212</f>
        <v>720.6312086815024</v>
      </c>
    </row>
    <row r="135" spans="1:7" ht="12.75">
      <c r="A135" s="52" t="s">
        <v>284</v>
      </c>
      <c r="B135" s="33"/>
      <c r="C135" s="33"/>
      <c r="D135" s="33"/>
      <c r="E135" s="33"/>
      <c r="F135" s="33"/>
      <c r="G135" s="33"/>
    </row>
    <row r="136" spans="1:7" ht="12.75">
      <c r="A136" s="52" t="s">
        <v>89</v>
      </c>
      <c r="B136" s="33"/>
      <c r="C136" s="33"/>
      <c r="D136" s="33">
        <f>SUM($C183:D183)-SUM($C224:D224)</f>
        <v>1165.7455705662583</v>
      </c>
      <c r="E136" s="33">
        <f>SUM($C183:E183)-SUM($C224:E224)</f>
        <v>2953.9722173772075</v>
      </c>
      <c r="F136" s="33">
        <f>SUM($C183:F183)-SUM($C224:F224)</f>
        <v>5626.819667334097</v>
      </c>
      <c r="G136" s="33">
        <f>SUM($C183:G183)-SUM($C224:G224)</f>
        <v>8749.049641427291</v>
      </c>
    </row>
    <row r="137" spans="1:7" ht="12.75">
      <c r="A137" s="52" t="s">
        <v>85</v>
      </c>
      <c r="B137" s="33"/>
      <c r="C137" s="33">
        <f>SUM($C$230)-SUM($C$231)</f>
        <v>16110</v>
      </c>
      <c r="D137" s="33">
        <f>SUM($C$230:D230)-SUM($C$231:D231)</f>
        <v>8081.232195295292</v>
      </c>
      <c r="E137" s="33">
        <f>SUM($C$230:E230)-SUM($C$231:E231)</f>
        <v>121</v>
      </c>
      <c r="F137" s="33">
        <f>SUM($C$230:F230)-SUM($C$231:F231)</f>
        <v>0</v>
      </c>
      <c r="G137" s="33">
        <f>SUM($C$230:G230)-SUM($C$231:G231)</f>
        <v>0</v>
      </c>
    </row>
    <row r="138" spans="1:7" ht="12.75">
      <c r="A138" s="53" t="s">
        <v>90</v>
      </c>
      <c r="B138" s="33"/>
      <c r="C138" s="33">
        <f>SUM(C132:C137)</f>
        <v>16110</v>
      </c>
      <c r="D138" s="33">
        <f>SUM(D132:D137)</f>
        <v>12505.333788348104</v>
      </c>
      <c r="E138" s="33">
        <f>SUM(E132:E137)</f>
        <v>7114.540862541568</v>
      </c>
      <c r="F138" s="33">
        <f>SUM(F132:F137)</f>
        <v>10599.72375396518</v>
      </c>
      <c r="G138" s="33">
        <f>SUM(G132:G137)</f>
        <v>14853.986860623569</v>
      </c>
    </row>
    <row r="139" spans="1:7" ht="12.75">
      <c r="A139" s="52" t="s">
        <v>91</v>
      </c>
      <c r="B139" s="33"/>
      <c r="C139" s="33">
        <f>(C50+C53)</f>
        <v>24000</v>
      </c>
      <c r="D139" s="33">
        <f>+(C139)+D50+D53</f>
        <v>24000</v>
      </c>
      <c r="E139" s="33">
        <f>+(D139)+E50+E53+D140</f>
        <v>29280</v>
      </c>
      <c r="F139" s="33">
        <f>+(E139)+F50+F53+E140</f>
        <v>36014.4</v>
      </c>
      <c r="G139" s="33">
        <f>+(F139)+G50+G53+F140</f>
        <v>43577.424</v>
      </c>
    </row>
    <row r="140" spans="1:7" ht="12.75">
      <c r="A140" s="52" t="s">
        <v>358</v>
      </c>
      <c r="B140" s="33"/>
      <c r="C140" s="33"/>
      <c r="D140" s="33">
        <f>+D139*D8*$D$5</f>
        <v>5280</v>
      </c>
      <c r="E140" s="33">
        <f>+(E139)*E8*$D$5</f>
        <v>6734.400000000001</v>
      </c>
      <c r="F140" s="33">
        <f>+(F139)*F8*$D$5</f>
        <v>7563.024</v>
      </c>
      <c r="G140" s="33">
        <f>+(G139)*G8*$D$5</f>
        <v>8715.4848</v>
      </c>
    </row>
    <row r="141" spans="1:7" ht="12.75">
      <c r="A141" s="52" t="s">
        <v>92</v>
      </c>
      <c r="B141" s="33"/>
      <c r="C141" s="33"/>
      <c r="D141" s="33"/>
      <c r="E141" s="33">
        <f>(IF(D184&lt;0,D141+D143,D184*(1-D61)+D141))</f>
        <v>1360.036498993968</v>
      </c>
      <c r="F141" s="33">
        <f>(IF(E184&lt;0,E141+E143,E184*(1-E61)+E141))+E142</f>
        <v>5119.14581403599</v>
      </c>
      <c r="G141" s="33">
        <f>(IF(F184&lt;0,F141+F143,F184*(1-F61)+F141))+F142</f>
        <v>12758.789380206661</v>
      </c>
    </row>
    <row r="142" spans="1:7" ht="12.75">
      <c r="A142" s="52" t="s">
        <v>359</v>
      </c>
      <c r="B142" s="33"/>
      <c r="C142" s="33"/>
      <c r="D142" s="33"/>
      <c r="E142" s="33">
        <f>+E141*E8*$D$5</f>
        <v>312.8083947686127</v>
      </c>
      <c r="F142" s="33">
        <f>+F141*F8*$D$5</f>
        <v>1075.020620947558</v>
      </c>
      <c r="G142" s="33">
        <f>+G141*G8*$D$5</f>
        <v>2551.7578760413326</v>
      </c>
    </row>
    <row r="143" spans="1:7" ht="12.75">
      <c r="A143" s="8" t="s">
        <v>185</v>
      </c>
      <c r="B143" s="33"/>
      <c r="C143" s="33"/>
      <c r="D143" s="33">
        <f>D184</f>
        <v>1942.9092842770974</v>
      </c>
      <c r="E143" s="33">
        <f>E184</f>
        <v>4923.287028962013</v>
      </c>
      <c r="F143" s="33">
        <f>F184</f>
        <v>9378.032778890163</v>
      </c>
      <c r="G143" s="33">
        <f>G184</f>
        <v>14581.749402378813</v>
      </c>
    </row>
    <row r="144" spans="1:7" ht="12.75">
      <c r="A144" s="53"/>
      <c r="B144" s="33"/>
      <c r="C144" s="33"/>
      <c r="D144" s="33"/>
      <c r="E144" s="33"/>
      <c r="F144" s="33"/>
      <c r="G144" s="33"/>
    </row>
    <row r="145" spans="1:7" ht="12.75">
      <c r="A145" s="34" t="s">
        <v>0</v>
      </c>
      <c r="B145" s="33"/>
      <c r="C145" s="34">
        <f>SUM(C132:C143)-C138</f>
        <v>40110</v>
      </c>
      <c r="D145" s="34">
        <f>SUM(D132:D143)-D138</f>
        <v>43728.243072625206</v>
      </c>
      <c r="E145" s="34">
        <f>SUM(E132:E143)-E138</f>
        <v>49725.07278526616</v>
      </c>
      <c r="F145" s="34">
        <f>SUM(F132:F143)-F138</f>
        <v>69749.3469678389</v>
      </c>
      <c r="G145" s="34">
        <f>SUM(G132:G143)-G138</f>
        <v>97039.19231925039</v>
      </c>
    </row>
    <row r="146" spans="1:7" ht="12.75">
      <c r="A146" s="53" t="s">
        <v>93</v>
      </c>
      <c r="B146" s="33"/>
      <c r="C146" s="33" t="str">
        <f>IF(+ROUND(C145-C128,1)=0,"Correcto","Error")</f>
        <v>Correcto</v>
      </c>
      <c r="D146" s="33" t="str">
        <f>IF(+ROUND(D145-D128,1)=0,"Correcto","Error")</f>
        <v>Correcto</v>
      </c>
      <c r="E146" s="33" t="str">
        <f>IF(+ROUND(E145-E128,1)=0,"Correcto","Error")</f>
        <v>Correcto</v>
      </c>
      <c r="F146" s="33" t="str">
        <f>IF(+ROUND(F145-F128,1)=0,"Correcto","Error")</f>
        <v>Correcto</v>
      </c>
      <c r="G146" s="33" t="str">
        <f>IF(+ROUND(G145-G128,1)=0,"Correcto","Error")</f>
        <v>Correcto</v>
      </c>
    </row>
    <row r="147" spans="1:7" ht="12.75">
      <c r="A147" s="53"/>
      <c r="B147" s="33"/>
      <c r="C147" s="33"/>
      <c r="D147" s="33"/>
      <c r="E147" s="33"/>
      <c r="F147" s="33"/>
      <c r="G147" s="33"/>
    </row>
    <row r="148" spans="1:7" ht="12.75">
      <c r="A148" s="53"/>
      <c r="B148" s="33"/>
      <c r="C148" s="33"/>
      <c r="D148" s="33"/>
      <c r="E148" s="33"/>
      <c r="F148" s="33"/>
      <c r="G148" s="33"/>
    </row>
    <row r="149" spans="1:7" ht="12.75">
      <c r="A149" s="53"/>
      <c r="B149" s="33"/>
      <c r="C149" s="33"/>
      <c r="D149" s="33"/>
      <c r="E149" s="33"/>
      <c r="F149" s="33"/>
      <c r="G149" s="33"/>
    </row>
    <row r="150" spans="1:7" ht="13.5" thickBot="1">
      <c r="A150" s="54" t="s">
        <v>94</v>
      </c>
      <c r="B150" s="33" t="s">
        <v>363</v>
      </c>
      <c r="C150" s="33"/>
      <c r="D150" s="33">
        <f>+D145-D128</f>
        <v>0</v>
      </c>
      <c r="E150" s="33">
        <f>+E145-E128</f>
        <v>0</v>
      </c>
      <c r="F150" s="33">
        <f>+F145-F128</f>
        <v>0</v>
      </c>
      <c r="G150" s="33">
        <f>+G145-G128</f>
        <v>0</v>
      </c>
    </row>
    <row r="151" spans="1:7" ht="12.75">
      <c r="A151" s="53"/>
      <c r="B151" s="33"/>
      <c r="C151" s="33"/>
      <c r="D151" s="33"/>
      <c r="E151" s="33"/>
      <c r="F151" s="33"/>
      <c r="G151" s="33"/>
    </row>
    <row r="152" spans="1:7" ht="12.75">
      <c r="A152" s="52" t="s">
        <v>95</v>
      </c>
      <c r="B152" s="33"/>
      <c r="C152" s="33"/>
      <c r="D152" s="33">
        <f>D65*D86</f>
        <v>50518.07955081923</v>
      </c>
      <c r="E152" s="33">
        <f>E65*E86</f>
        <v>67165.81980747901</v>
      </c>
      <c r="F152" s="33">
        <f>F65*F86</f>
        <v>86219.88695575621</v>
      </c>
      <c r="G152" s="33">
        <f>G65*G86</f>
        <v>108168.183472601</v>
      </c>
    </row>
    <row r="153" spans="1:7" ht="12.75">
      <c r="A153" s="53"/>
      <c r="B153" s="33"/>
      <c r="C153" s="33"/>
      <c r="D153" s="33"/>
      <c r="E153" s="33"/>
      <c r="F153" s="33"/>
      <c r="G153" s="33"/>
    </row>
    <row r="154" spans="1:7" ht="14.25" thickBot="1">
      <c r="A154" s="55" t="s">
        <v>96</v>
      </c>
      <c r="B154" s="33"/>
      <c r="C154" s="33"/>
      <c r="D154" s="34">
        <f>D156+D157-D158</f>
        <v>24628.069141010837</v>
      </c>
      <c r="E154" s="34">
        <f>E156+E157-E158</f>
        <v>32304.69452133417</v>
      </c>
      <c r="F154" s="34">
        <f>F156+F157-F158</f>
        <v>39953.26547688336</v>
      </c>
      <c r="G154" s="34">
        <f>G156+G157-G158</f>
        <v>49058.602985645564</v>
      </c>
    </row>
    <row r="155" spans="1:7" ht="13.5" thickTop="1">
      <c r="A155" s="53"/>
      <c r="B155" s="33"/>
      <c r="C155" s="33"/>
      <c r="D155" s="33"/>
      <c r="E155" s="33"/>
      <c r="F155" s="33"/>
      <c r="G155" s="33"/>
    </row>
    <row r="156" spans="1:7" ht="12.75">
      <c r="A156" s="52" t="s">
        <v>97</v>
      </c>
      <c r="B156" s="33"/>
      <c r="C156" s="33"/>
      <c r="D156" s="33">
        <f>D68*D87</f>
        <v>0</v>
      </c>
      <c r="E156" s="33">
        <f>D158</f>
        <v>2052.3390950842363</v>
      </c>
      <c r="F156" s="33">
        <f>E158</f>
        <v>2735.33753020669</v>
      </c>
      <c r="G156" s="33">
        <f>F158</f>
        <v>3370.6327057402664</v>
      </c>
    </row>
    <row r="157" spans="1:7" ht="12.75">
      <c r="A157" s="52" t="s">
        <v>98</v>
      </c>
      <c r="B157" s="33"/>
      <c r="C157" s="33"/>
      <c r="D157" s="33">
        <f>D69*D87</f>
        <v>26680.408236095074</v>
      </c>
      <c r="E157" s="33">
        <f>E69*E87</f>
        <v>32987.69295645662</v>
      </c>
      <c r="F157" s="33">
        <f>F69*F87</f>
        <v>40588.560652416934</v>
      </c>
      <c r="G157" s="33">
        <f>G69*G87</f>
        <v>49828.053465947734</v>
      </c>
    </row>
    <row r="158" spans="1:7" ht="12.75">
      <c r="A158" s="52" t="s">
        <v>99</v>
      </c>
      <c r="B158" s="33"/>
      <c r="C158" s="33"/>
      <c r="D158" s="33">
        <f>D67*D87</f>
        <v>2052.3390950842363</v>
      </c>
      <c r="E158" s="33">
        <f>E67*E87</f>
        <v>2735.33753020669</v>
      </c>
      <c r="F158" s="33">
        <f>F67*F87</f>
        <v>3370.6327057402664</v>
      </c>
      <c r="G158" s="33">
        <f>G67*G87</f>
        <v>4140.083186042437</v>
      </c>
    </row>
    <row r="159" spans="1:7" ht="12.75">
      <c r="A159" s="53"/>
      <c r="B159" s="33"/>
      <c r="C159" s="33"/>
      <c r="D159" s="33"/>
      <c r="E159" s="33"/>
      <c r="F159" s="33"/>
      <c r="G159" s="33"/>
    </row>
    <row r="160" spans="1:7" ht="14.25" thickBot="1">
      <c r="A160" s="55" t="s">
        <v>100</v>
      </c>
      <c r="B160" s="33"/>
      <c r="C160" s="33"/>
      <c r="D160" s="34">
        <f>D152-D154</f>
        <v>25890.010409808394</v>
      </c>
      <c r="E160" s="34">
        <f>E152-E154</f>
        <v>34861.125286144845</v>
      </c>
      <c r="F160" s="34">
        <f>F152-F154</f>
        <v>46266.621478872854</v>
      </c>
      <c r="G160" s="34">
        <f>G152-G154</f>
        <v>59109.580486955434</v>
      </c>
    </row>
    <row r="161" spans="1:7" ht="13.5" thickTop="1">
      <c r="A161" s="53"/>
      <c r="B161" s="33"/>
      <c r="C161" s="33"/>
      <c r="D161" s="33"/>
      <c r="E161" s="33"/>
      <c r="F161" s="33"/>
      <c r="G161" s="33"/>
    </row>
    <row r="162" spans="1:7" ht="14.25" thickBot="1">
      <c r="A162" s="55" t="s">
        <v>101</v>
      </c>
      <c r="B162" s="33"/>
      <c r="C162" s="33"/>
      <c r="D162" s="34">
        <f>SUM(D164:D171)</f>
        <v>21057.1469924605</v>
      </c>
      <c r="E162" s="34">
        <f>SUM(E164:E171)</f>
        <v>26309.296346565796</v>
      </c>
      <c r="F162" s="34">
        <f>SUM(F164:F171)</f>
        <v>32268.813784364957</v>
      </c>
      <c r="G162" s="34">
        <f>SUM(G164:G171)</f>
        <v>39261.442231800545</v>
      </c>
    </row>
    <row r="163" spans="1:7" ht="13.5" thickTop="1">
      <c r="A163" s="53"/>
      <c r="B163" s="33"/>
      <c r="C163" s="33"/>
      <c r="D163" s="33"/>
      <c r="E163" s="33"/>
      <c r="F163" s="33"/>
      <c r="G163" s="33"/>
    </row>
    <row r="164" spans="1:7" ht="12.75">
      <c r="A164" s="52" t="s">
        <v>102</v>
      </c>
      <c r="B164" s="33"/>
      <c r="C164" s="33"/>
      <c r="D164" s="33">
        <f>D90+D92+D95</f>
        <v>5194.567020534301</v>
      </c>
      <c r="E164" s="33">
        <f>E90+E92+E95</f>
        <v>6462.634608598357</v>
      </c>
      <c r="F164" s="33">
        <f>F90+F92+F95</f>
        <v>7891.948309630195</v>
      </c>
      <c r="G164" s="33">
        <f>G90+G92+G95</f>
        <v>9605.275910562981</v>
      </c>
    </row>
    <row r="165" spans="1:7" ht="12.75">
      <c r="A165" s="52" t="s">
        <v>103</v>
      </c>
      <c r="B165" s="33"/>
      <c r="C165" s="33"/>
      <c r="D165" s="33">
        <f>D94+D91</f>
        <v>376.29519887704805</v>
      </c>
      <c r="E165" s="33">
        <f>E94+E91</f>
        <v>475.4145495186975</v>
      </c>
      <c r="F165" s="33">
        <f>F94+F91</f>
        <v>587.6247173893905</v>
      </c>
      <c r="G165" s="33">
        <f>G94+G91</f>
        <v>720.6312086815024</v>
      </c>
    </row>
    <row r="166" spans="1:7" ht="12.75">
      <c r="A166" s="52" t="s">
        <v>254</v>
      </c>
      <c r="B166" s="33"/>
      <c r="C166" s="33"/>
      <c r="D166" s="33">
        <f>D96</f>
        <v>555</v>
      </c>
      <c r="E166" s="33">
        <f>E96</f>
        <v>682.65</v>
      </c>
      <c r="F166" s="33">
        <f>F96</f>
        <v>826.0065</v>
      </c>
      <c r="G166" s="33">
        <f>G96</f>
        <v>999.467865</v>
      </c>
    </row>
    <row r="167" spans="1:7" ht="12.75">
      <c r="A167" s="52" t="s">
        <v>104</v>
      </c>
      <c r="B167" s="33"/>
      <c r="C167" s="33"/>
      <c r="D167" s="33">
        <f>D93</f>
        <v>1515.5423865245768</v>
      </c>
      <c r="E167" s="33">
        <f>E93</f>
        <v>2014.9745942243703</v>
      </c>
      <c r="F167" s="33">
        <f>F93</f>
        <v>2586.596608672686</v>
      </c>
      <c r="G167" s="33">
        <f>G93</f>
        <v>3245.0455041780297</v>
      </c>
    </row>
    <row r="168" spans="1:7" ht="12.75">
      <c r="A168" s="52" t="s">
        <v>72</v>
      </c>
      <c r="B168" s="33"/>
      <c r="C168" s="33"/>
      <c r="D168" s="33">
        <f>D97</f>
        <v>2140.2</v>
      </c>
      <c r="E168" s="33">
        <f>E97</f>
        <v>2653.848</v>
      </c>
      <c r="F168" s="33">
        <f>F97</f>
        <v>3264.23304</v>
      </c>
      <c r="G168" s="33">
        <f>G97</f>
        <v>4015.0066392</v>
      </c>
    </row>
    <row r="169" spans="1:7" ht="12.75">
      <c r="A169" s="52" t="s">
        <v>105</v>
      </c>
      <c r="B169" s="33"/>
      <c r="C169" s="33"/>
      <c r="D169" s="33">
        <f>+D71</f>
        <v>8000</v>
      </c>
      <c r="E169" s="33">
        <f>+E71</f>
        <v>8000</v>
      </c>
      <c r="F169" s="33">
        <f>+F71</f>
        <v>8000</v>
      </c>
      <c r="G169" s="33">
        <f>+G71</f>
        <v>8000</v>
      </c>
    </row>
    <row r="170" spans="1:7" ht="12.75">
      <c r="A170" s="52" t="s">
        <v>357</v>
      </c>
      <c r="B170" s="33"/>
      <c r="C170" s="33"/>
      <c r="D170" s="33">
        <f>+D76*$D$5</f>
        <v>1760</v>
      </c>
      <c r="E170" s="33">
        <f>+E76*$D$5</f>
        <v>4004.7999999999993</v>
      </c>
      <c r="F170" s="33">
        <f>+F76*$D$5</f>
        <v>6525.807999999999</v>
      </c>
      <c r="G170" s="33">
        <f>+G76*$D$5</f>
        <v>9430.9696</v>
      </c>
    </row>
    <row r="171" spans="1:7" ht="12.75">
      <c r="A171" s="52" t="s">
        <v>73</v>
      </c>
      <c r="B171" s="33"/>
      <c r="C171" s="33"/>
      <c r="D171" s="33">
        <f>D98</f>
        <v>1515.5423865245768</v>
      </c>
      <c r="E171" s="33">
        <f>E98</f>
        <v>2014.9745942243703</v>
      </c>
      <c r="F171" s="33">
        <f>F98</f>
        <v>2586.596608672686</v>
      </c>
      <c r="G171" s="33">
        <f>G98</f>
        <v>3245.0455041780297</v>
      </c>
    </row>
    <row r="172" spans="1:7" ht="12.75">
      <c r="A172" s="53"/>
      <c r="B172" s="33"/>
      <c r="C172" s="33"/>
      <c r="D172" s="33"/>
      <c r="E172" s="91"/>
      <c r="F172" s="91"/>
      <c r="G172" s="91"/>
    </row>
    <row r="173" spans="1:7" ht="14.25" thickBot="1">
      <c r="A173" s="55" t="s">
        <v>106</v>
      </c>
      <c r="B173" s="33"/>
      <c r="C173" s="33"/>
      <c r="D173" s="34">
        <f>D160-D162</f>
        <v>4832.863417347893</v>
      </c>
      <c r="E173" s="34">
        <f>E160-E162</f>
        <v>8551.828939579049</v>
      </c>
      <c r="F173" s="34">
        <f>F160-F162</f>
        <v>13997.807694507897</v>
      </c>
      <c r="G173" s="34">
        <f>G160-G162</f>
        <v>19848.13825515489</v>
      </c>
    </row>
    <row r="174" spans="1:7" ht="13.5" thickTop="1">
      <c r="A174" s="52" t="s">
        <v>107</v>
      </c>
      <c r="B174" s="33"/>
      <c r="C174" s="33"/>
      <c r="D174" s="33">
        <f>+D197</f>
        <v>0</v>
      </c>
      <c r="E174" s="33">
        <f>+E197</f>
        <v>0</v>
      </c>
      <c r="F174" s="33">
        <f>+F197</f>
        <v>2118.382109200122</v>
      </c>
      <c r="G174" s="33">
        <f>+G197</f>
        <v>8939.58026469254</v>
      </c>
    </row>
    <row r="175" spans="1:7" ht="12.75">
      <c r="A175" s="52" t="s">
        <v>189</v>
      </c>
      <c r="B175" s="8"/>
      <c r="C175" s="8"/>
      <c r="D175" s="8"/>
      <c r="E175" s="8"/>
      <c r="F175" s="8"/>
      <c r="G175" s="8"/>
    </row>
    <row r="176" spans="1:7" ht="12.75">
      <c r="A176" s="52" t="s">
        <v>184</v>
      </c>
      <c r="B176" s="33"/>
      <c r="C176" s="33"/>
      <c r="D176" s="33">
        <f>D20*(SUM($C$230:C230)-SUM($C$231:C231))</f>
        <v>5244.208562504537</v>
      </c>
      <c r="E176" s="33">
        <f>E20*(SUM($C$230:D230)-SUM($C$231:D231))</f>
        <v>2606.5612984712157</v>
      </c>
      <c r="F176" s="33">
        <f>F20*(SUM($C$230:E230)-SUM($C$231:E231))</f>
        <v>36.316736536193076</v>
      </c>
      <c r="G176" s="33">
        <f>G20*(SUM($C$230:F230)-SUM($C$231:F231))</f>
        <v>0</v>
      </c>
    </row>
    <row r="177" spans="1:7" ht="12.75">
      <c r="A177" s="53" t="s">
        <v>349</v>
      </c>
      <c r="B177" s="33"/>
      <c r="C177" s="33"/>
      <c r="D177" s="34">
        <f>+(D80+D76)*$D$5</f>
        <v>8800</v>
      </c>
      <c r="E177" s="34">
        <f>+E73-D73</f>
        <v>11224</v>
      </c>
      <c r="F177" s="34">
        <f>+F73-E73</f>
        <v>12605.039999999994</v>
      </c>
      <c r="G177" s="34">
        <f>+G73-F73</f>
        <v>14525.808000000005</v>
      </c>
    </row>
    <row r="178" spans="1:7" ht="12.75">
      <c r="A178" s="53" t="s">
        <v>381</v>
      </c>
      <c r="B178" s="33"/>
      <c r="C178" s="33"/>
      <c r="D178" s="34"/>
      <c r="E178" s="34">
        <f>+E79</f>
        <v>2244.8</v>
      </c>
      <c r="F178" s="34">
        <f>+F79</f>
        <v>5042.016</v>
      </c>
      <c r="G178" s="34">
        <f>+G79</f>
        <v>8715.4848</v>
      </c>
    </row>
    <row r="179" spans="1:7" ht="12.75">
      <c r="A179" s="8" t="s">
        <v>350</v>
      </c>
      <c r="B179" s="33"/>
      <c r="C179" s="33"/>
      <c r="D179" s="34">
        <f>+D140</f>
        <v>5280</v>
      </c>
      <c r="E179" s="34">
        <f>+E140</f>
        <v>6734.400000000001</v>
      </c>
      <c r="F179" s="34">
        <f>+F140</f>
        <v>7563.024</v>
      </c>
      <c r="G179" s="34">
        <f>+G140</f>
        <v>8715.4848</v>
      </c>
    </row>
    <row r="180" spans="1:7" ht="12.75">
      <c r="A180" s="8" t="s">
        <v>351</v>
      </c>
      <c r="B180" s="33"/>
      <c r="C180" s="33"/>
      <c r="D180" s="34">
        <f>+D142</f>
        <v>0</v>
      </c>
      <c r="E180" s="34">
        <f>+E142</f>
        <v>312.8083947686127</v>
      </c>
      <c r="F180" s="34">
        <f>+F142</f>
        <v>1075.020620947558</v>
      </c>
      <c r="G180" s="34">
        <f>+G142</f>
        <v>2551.7578760413326</v>
      </c>
    </row>
    <row r="181" spans="1:7" ht="12.75">
      <c r="A181" s="8" t="s">
        <v>352</v>
      </c>
      <c r="B181" s="33"/>
      <c r="C181" s="33"/>
      <c r="D181" s="34">
        <f>(+D177-D179-D180-D178)</f>
        <v>3520</v>
      </c>
      <c r="E181" s="34">
        <f>+E177-E179-E180-E178</f>
        <v>1931.9916052313865</v>
      </c>
      <c r="F181" s="34">
        <f>+F177-F179-F180-F178</f>
        <v>-1075.0206209475646</v>
      </c>
      <c r="G181" s="34">
        <f>+G177-G179-G180-G178</f>
        <v>-5456.919476041328</v>
      </c>
    </row>
    <row r="182" spans="1:7" ht="14.25" thickBot="1">
      <c r="A182" s="55" t="s">
        <v>108</v>
      </c>
      <c r="B182" s="33"/>
      <c r="C182" s="33">
        <f>6307.05-8592.14+11224-2806-164.15+2244.8</f>
        <v>8213.560000000001</v>
      </c>
      <c r="D182" s="34">
        <f>D173+D174-D176+D175+D181</f>
        <v>3108.6548548433557</v>
      </c>
      <c r="E182" s="34">
        <f>E173+E174-E176+E175+E181</f>
        <v>7877.25924633922</v>
      </c>
      <c r="F182" s="34">
        <f>F173+F174-F176+F175+F181</f>
        <v>15004.85244622426</v>
      </c>
      <c r="G182" s="34">
        <f>G173+G174-G176+G175+G181</f>
        <v>23330.799043806102</v>
      </c>
    </row>
    <row r="183" spans="1:7" ht="13.5" thickTop="1">
      <c r="A183" s="52" t="s">
        <v>109</v>
      </c>
      <c r="B183" s="33"/>
      <c r="C183" s="33"/>
      <c r="D183" s="33">
        <f>IF(D182&lt;0,0,+D182*D7)</f>
        <v>1165.7455705662583</v>
      </c>
      <c r="E183" s="33">
        <f>IF(IF(D184&gt;0,E173+E174-E176+E175+E181,E173+E174-E176+E175+E181+D184)&lt;=0,0,IF(D184&gt;0,E173+E174-E176+E175+E181,E173+E174-E176+E175+E181+D184)*E7)</f>
        <v>2953.9722173772075</v>
      </c>
      <c r="F183" s="33">
        <f>IF(IF(E184&gt;0,F173+F174-F176+F175+F181,F173+F174-F176+F175+F181+E184)&lt;=0,0,IF(E184&gt;0,F173+F174-F176+F175+F181,F173+F174-F176+F175+F181+E184)*F7)</f>
        <v>5626.819667334097</v>
      </c>
      <c r="G183" s="33">
        <f>IF(IF(F184&gt;0,G173+G174-G176+G175+G181,G173+G174-G176+G175+G181+F184)&lt;=0,0,IF(F184&gt;0,G173+G174-G176+G175+G181,G173+G174-G176+G175+G181+F184)*G7)</f>
        <v>8749.04964142729</v>
      </c>
    </row>
    <row r="184" spans="1:7" ht="14.25" thickBot="1">
      <c r="A184" s="55" t="s">
        <v>110</v>
      </c>
      <c r="B184" s="33"/>
      <c r="C184" s="33"/>
      <c r="D184" s="34">
        <f>D182-D183</f>
        <v>1942.9092842770974</v>
      </c>
      <c r="E184" s="34">
        <f>E182-E183</f>
        <v>4923.287028962013</v>
      </c>
      <c r="F184" s="34">
        <f>F182-F183</f>
        <v>9378.032778890163</v>
      </c>
      <c r="G184" s="34">
        <f>G182-G183</f>
        <v>14581.749402378813</v>
      </c>
    </row>
    <row r="185" spans="1:7" ht="13.5" thickTop="1">
      <c r="A185" s="53"/>
      <c r="B185" s="33"/>
      <c r="C185" s="33"/>
      <c r="D185" s="33"/>
      <c r="E185" s="33"/>
      <c r="F185" s="33"/>
      <c r="G185" s="33"/>
    </row>
    <row r="186" spans="1:7" ht="13.5" thickBot="1">
      <c r="A186" s="54" t="s">
        <v>277</v>
      </c>
      <c r="B186" s="33"/>
      <c r="C186" s="53"/>
      <c r="D186" s="53"/>
      <c r="E186" s="53"/>
      <c r="F186" s="53"/>
      <c r="G186" s="53"/>
    </row>
    <row r="187" spans="1:7" ht="12.75">
      <c r="A187" s="53"/>
      <c r="B187" s="33"/>
      <c r="C187" s="33"/>
      <c r="D187" s="33"/>
      <c r="E187" s="33"/>
      <c r="F187" s="33"/>
      <c r="G187" s="33"/>
    </row>
    <row r="188" spans="1:7" ht="14.25" thickBot="1">
      <c r="A188" s="55" t="s">
        <v>111</v>
      </c>
      <c r="B188" s="33"/>
      <c r="C188" s="33"/>
      <c r="D188" s="33">
        <f>C235</f>
        <v>110</v>
      </c>
      <c r="E188" s="33">
        <f>D235</f>
        <v>110</v>
      </c>
      <c r="F188" s="33">
        <f>E235</f>
        <v>121</v>
      </c>
      <c r="G188" s="33">
        <f>F235</f>
        <v>150</v>
      </c>
    </row>
    <row r="189" spans="1:7" ht="15" thickBot="1" thickTop="1">
      <c r="A189" s="55" t="s">
        <v>112</v>
      </c>
      <c r="B189" s="33"/>
      <c r="C189" s="33"/>
      <c r="D189" s="33"/>
      <c r="E189" s="33"/>
      <c r="F189" s="33"/>
      <c r="G189" s="33"/>
    </row>
    <row r="190" spans="1:7" ht="13.5" thickTop="1">
      <c r="A190" s="52" t="s">
        <v>113</v>
      </c>
      <c r="B190" s="33">
        <f>D152</f>
        <v>50518.07955081923</v>
      </c>
      <c r="C190" s="33"/>
      <c r="D190" s="33">
        <f>B190*D56</f>
        <v>47992.17557327827</v>
      </c>
      <c r="E190" s="33">
        <f>B190*(1-D56)</f>
        <v>2525.9039775409638</v>
      </c>
      <c r="F190" s="33"/>
      <c r="G190" s="33"/>
    </row>
    <row r="191" spans="1:7" ht="12.75">
      <c r="A191" s="52" t="s">
        <v>114</v>
      </c>
      <c r="B191" s="33">
        <f>E152</f>
        <v>67165.81980747901</v>
      </c>
      <c r="C191" s="33"/>
      <c r="D191" s="33"/>
      <c r="E191" s="33">
        <f>B191*E56</f>
        <v>63807.528817105056</v>
      </c>
      <c r="F191" s="33">
        <f>B191-E191</f>
        <v>3358.2909903739564</v>
      </c>
      <c r="G191" s="33"/>
    </row>
    <row r="192" spans="1:8" ht="12.75">
      <c r="A192" s="52" t="s">
        <v>115</v>
      </c>
      <c r="B192" s="33">
        <f>F152</f>
        <v>86219.88695575621</v>
      </c>
      <c r="C192" s="33"/>
      <c r="D192" s="33"/>
      <c r="E192" s="33"/>
      <c r="F192" s="33">
        <f>B192*F56</f>
        <v>81908.8926079684</v>
      </c>
      <c r="G192" s="33">
        <f>+B192-F192</f>
        <v>4310.994347787811</v>
      </c>
      <c r="H192" s="8" t="s">
        <v>275</v>
      </c>
    </row>
    <row r="193" spans="1:8" ht="12.75">
      <c r="A193" s="52" t="s">
        <v>209</v>
      </c>
      <c r="B193" s="33">
        <f>+G152</f>
        <v>108168.183472601</v>
      </c>
      <c r="C193" s="33"/>
      <c r="D193" s="33"/>
      <c r="E193" s="33"/>
      <c r="F193" s="33"/>
      <c r="G193" s="33">
        <f>B193*G56</f>
        <v>102759.77429897094</v>
      </c>
      <c r="H193" s="33">
        <f>+B193-G193</f>
        <v>5408.409173630062</v>
      </c>
    </row>
    <row r="194" spans="1:10" ht="12.75">
      <c r="A194" s="52" t="s">
        <v>228</v>
      </c>
      <c r="B194" s="33"/>
      <c r="C194" s="33"/>
      <c r="D194" s="33">
        <f>SUM(D190:D193)</f>
        <v>47992.17557327827</v>
      </c>
      <c r="E194" s="33">
        <f>SUM(E190:E193)</f>
        <v>66333.43279464603</v>
      </c>
      <c r="F194" s="33">
        <f>SUM(F190:F193)</f>
        <v>85267.18359834235</v>
      </c>
      <c r="G194" s="33">
        <f>SUM(G190:G193)</f>
        <v>107070.76864675875</v>
      </c>
      <c r="J194" s="33"/>
    </row>
    <row r="195" spans="1:10" ht="12.75">
      <c r="A195" s="53"/>
      <c r="B195" s="33"/>
      <c r="C195" s="33"/>
      <c r="D195" s="33"/>
      <c r="E195" s="33"/>
      <c r="F195" s="33"/>
      <c r="G195" s="33"/>
      <c r="J195" s="33"/>
    </row>
    <row r="196" spans="1:10" ht="12.75">
      <c r="A196" s="52" t="s">
        <v>116</v>
      </c>
      <c r="B196" s="33"/>
      <c r="C196" s="33"/>
      <c r="D196" s="33">
        <f>C232</f>
        <v>0</v>
      </c>
      <c r="E196" s="33">
        <f>D232</f>
        <v>0</v>
      </c>
      <c r="F196" s="33">
        <f>E232</f>
        <v>7496.044264685501</v>
      </c>
      <c r="G196" s="33">
        <f>F232</f>
        <v>32866.10391431081</v>
      </c>
      <c r="J196" s="33"/>
    </row>
    <row r="197" spans="1:10" ht="12.75">
      <c r="A197" s="52" t="s">
        <v>117</v>
      </c>
      <c r="B197" s="33"/>
      <c r="C197" s="33"/>
      <c r="D197" s="33">
        <f>D25*D196</f>
        <v>0</v>
      </c>
      <c r="E197" s="33">
        <f>E25*E196</f>
        <v>0</v>
      </c>
      <c r="F197" s="33">
        <f>F25*F196</f>
        <v>2118.382109200122</v>
      </c>
      <c r="G197" s="33">
        <f>G25*G196</f>
        <v>8939.58026469254</v>
      </c>
      <c r="J197" s="33"/>
    </row>
    <row r="198" spans="1:10" ht="12.75">
      <c r="A198" s="52" t="s">
        <v>118</v>
      </c>
      <c r="B198" s="33"/>
      <c r="C198" s="33">
        <f>C50</f>
        <v>24000</v>
      </c>
      <c r="D198" s="33">
        <f>D50</f>
        <v>0</v>
      </c>
      <c r="E198" s="33">
        <f>E50</f>
        <v>0</v>
      </c>
      <c r="F198" s="33">
        <f>F50</f>
        <v>0</v>
      </c>
      <c r="G198" s="33">
        <f>G50</f>
        <v>0</v>
      </c>
      <c r="J198" s="33"/>
    </row>
    <row r="199" spans="1:10" ht="12.75">
      <c r="A199" s="52" t="s">
        <v>119</v>
      </c>
      <c r="B199" s="33"/>
      <c r="C199" s="33"/>
      <c r="D199" s="33"/>
      <c r="E199" s="33"/>
      <c r="F199" s="33"/>
      <c r="G199" s="33"/>
      <c r="J199" s="33"/>
    </row>
    <row r="200" spans="1:10" ht="12.75">
      <c r="A200" s="52" t="s">
        <v>120</v>
      </c>
      <c r="B200" s="33"/>
      <c r="C200" s="33"/>
      <c r="D200" s="33"/>
      <c r="E200" s="33"/>
      <c r="F200" s="33"/>
      <c r="G200" s="33"/>
      <c r="J200" s="33"/>
    </row>
    <row r="201" spans="1:10" ht="14.25" thickBot="1">
      <c r="A201" s="55" t="s">
        <v>121</v>
      </c>
      <c r="B201" s="33"/>
      <c r="C201" s="33">
        <f>SUM(C190:C200)</f>
        <v>24000</v>
      </c>
      <c r="D201" s="33">
        <f>SUM(D190:D200)-D194</f>
        <v>47992.17557327827</v>
      </c>
      <c r="E201" s="33">
        <f>SUM(E190:E200)-E194</f>
        <v>66333.43279464603</v>
      </c>
      <c r="F201" s="33">
        <f>SUM(F190:F200)-F194</f>
        <v>94881.60997222798</v>
      </c>
      <c r="G201" s="33">
        <f>SUM(G190:G200)-G194</f>
        <v>148876.4528257621</v>
      </c>
      <c r="J201" s="33"/>
    </row>
    <row r="202" spans="1:10" ht="13.5" thickTop="1">
      <c r="A202" s="53"/>
      <c r="B202" s="33"/>
      <c r="C202" s="33"/>
      <c r="D202" s="33"/>
      <c r="E202" s="33"/>
      <c r="F202" s="33"/>
      <c r="G202" s="33"/>
      <c r="J202" s="33"/>
    </row>
    <row r="203" spans="1:10" ht="14.25" thickBot="1">
      <c r="A203" s="55" t="s">
        <v>122</v>
      </c>
      <c r="B203" s="33"/>
      <c r="C203" s="33"/>
      <c r="D203" s="33"/>
      <c r="E203" s="33"/>
      <c r="F203" s="33"/>
      <c r="G203" s="33"/>
      <c r="J203" s="33"/>
    </row>
    <row r="204" spans="1:10" ht="13.5" thickTop="1">
      <c r="A204" s="53"/>
      <c r="B204" s="33"/>
      <c r="C204" s="33"/>
      <c r="D204" s="33"/>
      <c r="E204" s="33"/>
      <c r="F204" s="33"/>
      <c r="G204" s="33"/>
      <c r="J204" s="33"/>
    </row>
    <row r="205" spans="1:10" ht="12.75">
      <c r="A205" s="52" t="s">
        <v>123</v>
      </c>
      <c r="B205" s="33"/>
      <c r="C205" s="33"/>
      <c r="D205" s="33"/>
      <c r="E205" s="33"/>
      <c r="F205" s="33"/>
      <c r="G205" s="33"/>
      <c r="J205" s="33"/>
    </row>
    <row r="206" spans="1:10" ht="12.75">
      <c r="A206" s="52" t="s">
        <v>124</v>
      </c>
      <c r="B206" s="33">
        <f>D157</f>
        <v>26680.408236095074</v>
      </c>
      <c r="C206" s="33"/>
      <c r="D206" s="33">
        <f>B206*D58</f>
        <v>24012.367412485568</v>
      </c>
      <c r="E206" s="33">
        <f>B206-D206</f>
        <v>2668.0408236095063</v>
      </c>
      <c r="F206" s="33"/>
      <c r="G206" s="33"/>
      <c r="J206" s="33"/>
    </row>
    <row r="207" spans="1:10" ht="12.75">
      <c r="A207" s="52" t="s">
        <v>125</v>
      </c>
      <c r="B207" s="33">
        <f>E157</f>
        <v>32987.69295645662</v>
      </c>
      <c r="C207" s="33"/>
      <c r="D207" s="33"/>
      <c r="E207" s="33">
        <f>B207*E58</f>
        <v>29688.92366081096</v>
      </c>
      <c r="F207" s="33">
        <f>B207-E207</f>
        <v>3298.769295645663</v>
      </c>
      <c r="G207" s="33"/>
      <c r="J207" s="33"/>
    </row>
    <row r="208" spans="1:10" ht="12.75">
      <c r="A208" s="52" t="s">
        <v>126</v>
      </c>
      <c r="B208" s="33">
        <f>F157</f>
        <v>40588.560652416934</v>
      </c>
      <c r="C208" s="33"/>
      <c r="D208" s="33"/>
      <c r="E208" s="33"/>
      <c r="F208" s="33">
        <f>B208*F58</f>
        <v>36529.70458717524</v>
      </c>
      <c r="G208" s="33">
        <f>+B208-F208</f>
        <v>4058.8560652416927</v>
      </c>
      <c r="J208" s="33"/>
    </row>
    <row r="209" spans="1:10" ht="12.75">
      <c r="A209" s="52" t="s">
        <v>210</v>
      </c>
      <c r="B209" s="33">
        <f>+G157</f>
        <v>49828.053465947734</v>
      </c>
      <c r="C209" s="33"/>
      <c r="D209" s="33"/>
      <c r="E209" s="33"/>
      <c r="F209" s="33"/>
      <c r="G209" s="33">
        <f>B209*G58</f>
        <v>44845.24811935296</v>
      </c>
      <c r="I209" s="8" t="s">
        <v>276</v>
      </c>
      <c r="J209" s="33">
        <f>+B209-G209</f>
        <v>4982.805346594774</v>
      </c>
    </row>
    <row r="210" spans="1:10" ht="12.75">
      <c r="A210" s="53" t="s">
        <v>229</v>
      </c>
      <c r="B210" s="33"/>
      <c r="C210" s="33"/>
      <c r="D210" s="33">
        <f>SUM(D206:D209)</f>
        <v>24012.367412485568</v>
      </c>
      <c r="E210" s="33">
        <f>SUM(E206:E209)</f>
        <v>32356.964484420467</v>
      </c>
      <c r="F210" s="33">
        <f>SUM(F206:F209)</f>
        <v>39828.47388282091</v>
      </c>
      <c r="G210" s="33">
        <f>SUM(G206:G209)</f>
        <v>48904.10418459465</v>
      </c>
      <c r="J210" s="33"/>
    </row>
    <row r="211" spans="1:10" ht="12.75">
      <c r="A211" s="52" t="s">
        <v>127</v>
      </c>
      <c r="B211" s="33"/>
      <c r="C211" s="33"/>
      <c r="D211" s="33">
        <f>D164</f>
        <v>5194.567020534301</v>
      </c>
      <c r="E211" s="33">
        <f>E164</f>
        <v>6462.634608598357</v>
      </c>
      <c r="F211" s="33">
        <f>F164</f>
        <v>7891.948309630195</v>
      </c>
      <c r="G211" s="33">
        <f>G164</f>
        <v>9605.275910562981</v>
      </c>
      <c r="J211" s="33"/>
    </row>
    <row r="212" spans="1:10" ht="12.75">
      <c r="A212" s="52" t="s">
        <v>103</v>
      </c>
      <c r="B212" s="33"/>
      <c r="C212" s="33"/>
      <c r="D212" s="33"/>
      <c r="E212" s="33">
        <f>+D165</f>
        <v>376.29519887704805</v>
      </c>
      <c r="F212" s="33">
        <f>+E165</f>
        <v>475.4145495186975</v>
      </c>
      <c r="G212" s="33">
        <f>+F165</f>
        <v>587.6247173893905</v>
      </c>
      <c r="I212" s="8" t="s">
        <v>276</v>
      </c>
      <c r="J212" s="33">
        <f>+G165</f>
        <v>720.6312086815024</v>
      </c>
    </row>
    <row r="213" spans="1:10" ht="12.75">
      <c r="A213" s="53"/>
      <c r="B213" s="33"/>
      <c r="C213" s="33"/>
      <c r="D213" s="33"/>
      <c r="E213" s="33"/>
      <c r="F213" s="33"/>
      <c r="G213" s="33"/>
      <c r="J213" s="33"/>
    </row>
    <row r="214" spans="1:10" ht="12.75">
      <c r="A214" s="52" t="s">
        <v>254</v>
      </c>
      <c r="B214" s="33"/>
      <c r="C214" s="33"/>
      <c r="D214" s="33">
        <f aca="true" t="shared" si="0" ref="D214:G215">D166</f>
        <v>555</v>
      </c>
      <c r="E214" s="33">
        <f t="shared" si="0"/>
        <v>682.65</v>
      </c>
      <c r="F214" s="33">
        <f t="shared" si="0"/>
        <v>826.0065</v>
      </c>
      <c r="G214" s="33">
        <f t="shared" si="0"/>
        <v>999.467865</v>
      </c>
      <c r="J214" s="33"/>
    </row>
    <row r="215" spans="1:10" ht="12.75">
      <c r="A215" s="52" t="s">
        <v>104</v>
      </c>
      <c r="B215" s="33"/>
      <c r="C215" s="33"/>
      <c r="D215" s="33">
        <f t="shared" si="0"/>
        <v>1515.5423865245768</v>
      </c>
      <c r="E215" s="33">
        <f t="shared" si="0"/>
        <v>2014.9745942243703</v>
      </c>
      <c r="F215" s="33">
        <f t="shared" si="0"/>
        <v>2586.596608672686</v>
      </c>
      <c r="G215" s="33">
        <f t="shared" si="0"/>
        <v>3245.0455041780297</v>
      </c>
      <c r="J215" s="33"/>
    </row>
    <row r="216" spans="1:10" ht="12.75">
      <c r="A216" s="52" t="s">
        <v>128</v>
      </c>
      <c r="B216" s="33">
        <f>D97</f>
        <v>2140.2</v>
      </c>
      <c r="C216" s="33"/>
      <c r="D216" s="33">
        <f>B216*D58</f>
        <v>1926.1799999999998</v>
      </c>
      <c r="E216" s="33">
        <f>B216*(1-D58)</f>
        <v>214.01999999999992</v>
      </c>
      <c r="F216" s="33"/>
      <c r="G216" s="33"/>
      <c r="J216" s="33"/>
    </row>
    <row r="217" spans="1:10" ht="12.75">
      <c r="A217" s="52" t="s">
        <v>129</v>
      </c>
      <c r="B217" s="33">
        <f>E97</f>
        <v>2653.848</v>
      </c>
      <c r="C217" s="33"/>
      <c r="D217" s="33"/>
      <c r="E217" s="33">
        <f>B217*E58</f>
        <v>2388.4632</v>
      </c>
      <c r="F217" s="33">
        <f>B217-E217</f>
        <v>265.3847999999998</v>
      </c>
      <c r="G217" s="33"/>
      <c r="J217" s="33"/>
    </row>
    <row r="218" spans="1:10" ht="12.75">
      <c r="A218" s="52" t="s">
        <v>130</v>
      </c>
      <c r="B218" s="33">
        <f>F97</f>
        <v>3264.23304</v>
      </c>
      <c r="C218" s="33"/>
      <c r="D218" s="33"/>
      <c r="E218" s="33"/>
      <c r="F218" s="33">
        <f>B218*F58</f>
        <v>2937.809736</v>
      </c>
      <c r="G218" s="33">
        <f>+B218-F218</f>
        <v>326.4233039999999</v>
      </c>
      <c r="J218" s="33"/>
    </row>
    <row r="219" spans="1:10" ht="12.75">
      <c r="A219" s="52" t="s">
        <v>211</v>
      </c>
      <c r="B219" s="33">
        <f>+G168</f>
        <v>4015.0066392</v>
      </c>
      <c r="C219" s="33"/>
      <c r="D219" s="33"/>
      <c r="E219" s="33"/>
      <c r="F219" s="33"/>
      <c r="G219" s="33">
        <f>+G58*B219</f>
        <v>3613.50597528</v>
      </c>
      <c r="I219" s="8" t="s">
        <v>276</v>
      </c>
      <c r="J219" s="33">
        <f>+B219-G219</f>
        <v>401.5006639200001</v>
      </c>
    </row>
    <row r="220" spans="1:10" ht="12.75">
      <c r="A220" s="52" t="s">
        <v>73</v>
      </c>
      <c r="B220" s="33"/>
      <c r="C220" s="33"/>
      <c r="D220" s="33">
        <f>D171</f>
        <v>1515.5423865245768</v>
      </c>
      <c r="E220" s="33">
        <f>E171</f>
        <v>2014.9745942243703</v>
      </c>
      <c r="F220" s="33">
        <f>F171</f>
        <v>2586.596608672686</v>
      </c>
      <c r="G220" s="33">
        <f>G171</f>
        <v>3245.0455041780297</v>
      </c>
      <c r="J220" s="33"/>
    </row>
    <row r="221" spans="1:10" ht="12.75">
      <c r="A221" s="52" t="s">
        <v>131</v>
      </c>
      <c r="B221" s="33"/>
      <c r="C221" s="33">
        <f>+C51</f>
        <v>40000</v>
      </c>
      <c r="D221" s="33">
        <f>+D51</f>
        <v>0</v>
      </c>
      <c r="E221" s="33">
        <f>+E51</f>
        <v>0</v>
      </c>
      <c r="F221" s="33">
        <f>+F51</f>
        <v>0</v>
      </c>
      <c r="G221" s="33">
        <f>+G51</f>
        <v>0</v>
      </c>
      <c r="J221" s="33"/>
    </row>
    <row r="222" spans="1:10" ht="12.75">
      <c r="A222" s="52" t="s">
        <v>74</v>
      </c>
      <c r="B222" s="33"/>
      <c r="C222" s="33"/>
      <c r="D222" s="33">
        <f>D176</f>
        <v>5244.208562504537</v>
      </c>
      <c r="E222" s="33">
        <f>E176</f>
        <v>2606.5612984712157</v>
      </c>
      <c r="F222" s="33">
        <f>F176</f>
        <v>36.316736536193076</v>
      </c>
      <c r="G222" s="33">
        <f>G176</f>
        <v>0</v>
      </c>
      <c r="J222" s="33"/>
    </row>
    <row r="223" spans="1:10" ht="12.75">
      <c r="A223" s="52" t="s">
        <v>132</v>
      </c>
      <c r="B223" s="33"/>
      <c r="C223" s="33"/>
      <c r="D223" s="33"/>
      <c r="E223" s="33">
        <f>IF(+D61*D184&lt;0,0,D61*D184)</f>
        <v>582.8727852831292</v>
      </c>
      <c r="F223" s="33">
        <f>IF(+E61*E184&lt;0,0,E61*E184)</f>
        <v>1476.986108688604</v>
      </c>
      <c r="G223" s="33">
        <f>IF(+F61*F184&lt;0,0,F61*F184)</f>
        <v>2813.409833667049</v>
      </c>
      <c r="J223" s="33"/>
    </row>
    <row r="224" spans="1:10" ht="12.75">
      <c r="A224" s="52" t="s">
        <v>133</v>
      </c>
      <c r="B224" s="33"/>
      <c r="C224" s="33"/>
      <c r="D224" s="33">
        <f>+D183*FLUJO_DE_CAJA_PROYECTO!$F$5+C183*(1-FLUJO_DE_CAJA_PROYECTO!$F$5)</f>
        <v>0</v>
      </c>
      <c r="E224" s="33">
        <f>+E183*FLUJO_DE_CAJA_PROYECTO!$F$5+D183*(1-FLUJO_DE_CAJA_PROYECTO!$F$5)</f>
        <v>1165.7455705662583</v>
      </c>
      <c r="F224" s="33">
        <f>+F183*FLUJO_DE_CAJA_PROYECTO!$F$5+E183*(1-FLUJO_DE_CAJA_PROYECTO!$F$5)</f>
        <v>2953.9722173772075</v>
      </c>
      <c r="G224" s="33">
        <f>+G183*FLUJO_DE_CAJA_PROYECTO!$F$5+F183*(1-FLUJO_DE_CAJA_PROYECTO!$F$5)</f>
        <v>5626.819667334097</v>
      </c>
      <c r="H224" s="9">
        <f>SUM(D224:G224)</f>
        <v>9746.537455277563</v>
      </c>
      <c r="J224" s="33"/>
    </row>
    <row r="225" spans="1:10" ht="12.75">
      <c r="A225" s="53"/>
      <c r="B225" s="33"/>
      <c r="C225" s="33"/>
      <c r="D225" s="33"/>
      <c r="E225" s="33"/>
      <c r="F225" s="33"/>
      <c r="G225" s="33"/>
      <c r="J225" s="33"/>
    </row>
    <row r="226" spans="1:10" ht="14.25" thickBot="1">
      <c r="A226" s="55" t="s">
        <v>134</v>
      </c>
      <c r="B226" s="33"/>
      <c r="C226" s="33">
        <f>SUM(C205:C225)</f>
        <v>40000</v>
      </c>
      <c r="D226" s="33">
        <f>SUM(D205:D225)-D210</f>
        <v>39963.40776857356</v>
      </c>
      <c r="E226" s="33">
        <f>SUM(E205:E225)-E210</f>
        <v>50866.15633466523</v>
      </c>
      <c r="F226" s="33">
        <f>SUM(F205:F225)-F210</f>
        <v>61865.50605791717</v>
      </c>
      <c r="G226" s="33">
        <f>SUM(G205:G225)-G210</f>
        <v>78966.7224661842</v>
      </c>
      <c r="J226" s="33"/>
    </row>
    <row r="227" spans="1:10" ht="13.5" thickTop="1">
      <c r="A227" s="53"/>
      <c r="B227" s="33"/>
      <c r="C227" s="33"/>
      <c r="D227" s="33"/>
      <c r="E227" s="33"/>
      <c r="F227" s="33"/>
      <c r="G227" s="33"/>
      <c r="J227" s="33"/>
    </row>
    <row r="228" spans="1:10" ht="14.25" thickBot="1">
      <c r="A228" s="55" t="s">
        <v>135</v>
      </c>
      <c r="B228" s="33"/>
      <c r="C228" s="33">
        <f>C201-C226</f>
        <v>-16000</v>
      </c>
      <c r="D228" s="33">
        <f>D201-D226</f>
        <v>8028.767804704708</v>
      </c>
      <c r="E228" s="33">
        <f>E201-E226</f>
        <v>15467.276459980792</v>
      </c>
      <c r="F228" s="33">
        <f>F201-F226</f>
        <v>33016.10391431081</v>
      </c>
      <c r="G228" s="98">
        <f>G201-G226</f>
        <v>69909.7303595779</v>
      </c>
      <c r="J228" s="33"/>
    </row>
    <row r="229" spans="1:10" ht="15" thickBot="1" thickTop="1">
      <c r="A229" s="55" t="s">
        <v>136</v>
      </c>
      <c r="B229" s="33"/>
      <c r="C229" s="34">
        <f>C228</f>
        <v>-16000</v>
      </c>
      <c r="D229" s="34">
        <f>+D228+C235</f>
        <v>8138.767804704708</v>
      </c>
      <c r="E229" s="34">
        <f>+E228+D235</f>
        <v>15577.276459980792</v>
      </c>
      <c r="F229" s="34">
        <f>+F228+E235</f>
        <v>33137.10391431081</v>
      </c>
      <c r="G229" s="34">
        <f>+G228+F235</f>
        <v>70059.7303595779</v>
      </c>
      <c r="J229" s="34"/>
    </row>
    <row r="230" spans="1:10" ht="13.5" thickTop="1">
      <c r="A230" s="52" t="s">
        <v>137</v>
      </c>
      <c r="B230" s="33"/>
      <c r="C230" s="57">
        <f>IF(C50&lt;=C51,+C51-C50+C63,0)</f>
        <v>16110</v>
      </c>
      <c r="D230" s="57">
        <f>IF(D229&lt;0,-D229+D63,0)</f>
        <v>0</v>
      </c>
      <c r="E230" s="57">
        <f>IF(E229&lt;0,-E229+E63,0)</f>
        <v>0</v>
      </c>
      <c r="F230" s="57">
        <f>IF(F229&lt;0,-F229+F63,0)</f>
        <v>0</v>
      </c>
      <c r="G230" s="57">
        <f>IF(G229&lt;0,-G229+G63,0)</f>
        <v>0</v>
      </c>
      <c r="J230" s="57"/>
    </row>
    <row r="231" spans="1:10" ht="12.75">
      <c r="A231" s="52" t="s">
        <v>138</v>
      </c>
      <c r="B231" s="33"/>
      <c r="C231" s="33"/>
      <c r="D231" s="5">
        <f>IF((D229)&gt;SUM($C$230:C230)-SUM($C$231:C231),IF(SUM($C$230:C230)-SUM($C$231:C231)-D62&lt;0,SUM($C$230:C230)-SUM($C$231:C231),SUM($C$230:C230)-SUM($C$231:C231)-D62),IF((D229)&gt;0,D229-D62,0))</f>
        <v>8028.767804704708</v>
      </c>
      <c r="E231" s="5">
        <f>IF((E229)&gt;SUM($C$230:D230)-SUM($C$231:D231),IF(SUM($C$230:D230)-SUM($C$231:D231)-E62&lt;0,SUM($C$230:D230)-SUM($C$231:D231),SUM($C$230:D230)-SUM($C$231:D231)-E62),IF((E229)&gt;0,E229-E62,0))</f>
        <v>7960.232195295292</v>
      </c>
      <c r="F231" s="5">
        <f>IF((F229)&gt;SUM($C$230:E230)-SUM($C$231:E231),IF(SUM($C$230:E230)-SUM($C$231:E231)-F62&lt;0,SUM($C$230:E230)-SUM($C$231:E231),SUM($C$230:E230)-SUM($C$231:E231)-F62),IF((F229)&gt;0,F229-F62,0))</f>
        <v>121</v>
      </c>
      <c r="G231" s="5">
        <f>IF((G229)&gt;SUM($C$230:F230)-SUM($C$231:F231),IF(SUM($C$230:F230)-SUM($C$231:F231)-G62&lt;0,SUM($C$230:F230)-SUM($C$231:F231),SUM($C$230:F230)-SUM($C$231:F231)-G62),IF((G229)&gt;0,G229-G62,0))</f>
        <v>0</v>
      </c>
      <c r="J231" s="5"/>
    </row>
    <row r="232" spans="1:10" ht="12.75">
      <c r="A232" s="52" t="s">
        <v>139</v>
      </c>
      <c r="B232" s="33"/>
      <c r="C232" s="2">
        <f>IF(C230&gt;0,0,IF((+C229-C231)&gt;C62,+C229-C231-C62,0))</f>
        <v>0</v>
      </c>
      <c r="D232" s="2">
        <f>IF((+D229-D231+D230)&gt;D62,+D229-D231+D230-D62,0)</f>
        <v>0</v>
      </c>
      <c r="E232" s="2">
        <f>IF((+E229-E231+E230)&gt;E62,+E229-E231+E230-E62,0)</f>
        <v>7496.044264685501</v>
      </c>
      <c r="F232" s="2">
        <f>IF((+F229-F231+F230)&gt;F62,+F229-F231+F230-F62,0)</f>
        <v>32866.10391431081</v>
      </c>
      <c r="G232" s="2"/>
      <c r="J232" s="2"/>
    </row>
    <row r="233" spans="1:10" ht="14.25" thickBot="1">
      <c r="A233" s="55" t="s">
        <v>140</v>
      </c>
      <c r="B233" s="33"/>
      <c r="C233" s="2">
        <f>C228+C230-C232-C231</f>
        <v>110</v>
      </c>
      <c r="D233" s="2">
        <f>D228+D230-D232-D231</f>
        <v>0</v>
      </c>
      <c r="E233" s="2">
        <f>E228+E230-E232-E231</f>
        <v>11</v>
      </c>
      <c r="F233" s="2">
        <f>F228+F230-F232-F231</f>
        <v>29</v>
      </c>
      <c r="G233" s="2">
        <f>G228+G230-G232-G231</f>
        <v>69909.7303595779</v>
      </c>
      <c r="J233" s="2"/>
    </row>
    <row r="234" spans="1:13" ht="13.5" thickTop="1">
      <c r="A234" s="4"/>
      <c r="B234" s="2"/>
      <c r="C234" s="2"/>
      <c r="D234" s="2"/>
      <c r="E234" s="2"/>
      <c r="F234" s="2"/>
      <c r="G234" s="2"/>
      <c r="H234" s="2"/>
      <c r="I234" s="2"/>
      <c r="J234" s="2"/>
      <c r="K234" s="2"/>
      <c r="L234" s="2"/>
      <c r="M234" s="1"/>
    </row>
    <row r="235" spans="1:10" ht="14.25" thickBot="1">
      <c r="A235" s="55" t="s">
        <v>136</v>
      </c>
      <c r="B235" s="33"/>
      <c r="C235" s="34">
        <f>C188+C233</f>
        <v>110</v>
      </c>
      <c r="D235" s="34">
        <f>C235+D233</f>
        <v>110</v>
      </c>
      <c r="E235" s="34">
        <f>D235+E233</f>
        <v>121</v>
      </c>
      <c r="F235" s="34">
        <f>E235+F233</f>
        <v>150</v>
      </c>
      <c r="G235" s="34">
        <f>F235+G233</f>
        <v>70059.7303595779</v>
      </c>
      <c r="J235" s="34"/>
    </row>
    <row r="236" spans="1:10" ht="14.25" thickTop="1">
      <c r="A236" s="58" t="s">
        <v>142</v>
      </c>
      <c r="B236" s="33"/>
      <c r="C236" s="78">
        <f>+C138/C145</f>
        <v>0.4016454749439043</v>
      </c>
      <c r="D236" s="78">
        <f>+D138/D145</f>
        <v>0.28597841828629755</v>
      </c>
      <c r="E236" s="78">
        <f>+E138/E145</f>
        <v>0.14307753541689433</v>
      </c>
      <c r="F236" s="78">
        <f>+F138/F145</f>
        <v>0.15196878845120462</v>
      </c>
      <c r="G236" s="78">
        <f>+G138/G145</f>
        <v>0.15307203724197602</v>
      </c>
      <c r="J236" s="78"/>
    </row>
    <row r="237" spans="1:10" ht="13.5">
      <c r="A237" s="58" t="s">
        <v>141</v>
      </c>
      <c r="B237" s="33"/>
      <c r="C237" s="78">
        <v>0.6686913307564881</v>
      </c>
      <c r="D237" s="78">
        <v>0.454815110191296</v>
      </c>
      <c r="E237" s="78">
        <v>0.34325706875238643</v>
      </c>
      <c r="F237" s="78">
        <v>0.3123270780919644</v>
      </c>
      <c r="G237" s="78">
        <v>0.3123270780919644</v>
      </c>
      <c r="J237" s="78"/>
    </row>
    <row r="247" ht="12.75"/>
    <row r="248" ht="12.75"/>
    <row r="249" ht="12.75"/>
    <row r="250" ht="12.75"/>
    <row r="252" ht="12.75"/>
    <row r="253" ht="12.75"/>
    <row r="254" ht="12.75"/>
    <row r="255" ht="12.75"/>
  </sheetData>
  <sheetProtection/>
  <hyperlinks>
    <hyperlink ref="A4" location="MENU!A1" display="MENU"/>
  </hyperlinks>
  <printOptions/>
  <pageMargins left="0.7874015748031497" right="0.75" top="0.7874015748031497" bottom="1" header="0" footer="0"/>
  <pageSetup horizontalDpi="360" verticalDpi="360" orientation="landscape" r:id="rId3"/>
  <legacyDrawing r:id="rId2"/>
</worksheet>
</file>

<file path=xl/worksheets/sheet5.xml><?xml version="1.0" encoding="utf-8"?>
<worksheet xmlns="http://schemas.openxmlformats.org/spreadsheetml/2006/main" xmlns:r="http://schemas.openxmlformats.org/officeDocument/2006/relationships">
  <sheetPr codeName="Hoja5"/>
  <dimension ref="A1:T285"/>
  <sheetViews>
    <sheetView zoomScale="75" zoomScaleNormal="75" zoomScalePageLayoutView="0" workbookViewId="0" topLeftCell="A1">
      <pane xSplit="1" ySplit="4" topLeftCell="B234" activePane="bottomRight" state="frozen"/>
      <selection pane="topLeft" activeCell="A1" sqref="A1"/>
      <selection pane="topRight" activeCell="B1" sqref="B1"/>
      <selection pane="bottomLeft" activeCell="A5" sqref="A5"/>
      <selection pane="bottomRight" activeCell="A4" sqref="A4"/>
    </sheetView>
  </sheetViews>
  <sheetFormatPr defaultColWidth="12.57421875" defaultRowHeight="12.75"/>
  <cols>
    <col min="1" max="1" width="48.140625" style="9" customWidth="1"/>
    <col min="2" max="2" width="14.140625" style="9" customWidth="1"/>
    <col min="3" max="3" width="16.8515625" style="9" customWidth="1"/>
    <col min="4" max="4" width="14.28125" style="9" customWidth="1"/>
    <col min="5" max="5" width="14.421875" style="9" customWidth="1"/>
    <col min="6" max="6" width="14.8515625" style="9" customWidth="1"/>
    <col min="7" max="8" width="16.00390625" style="9" customWidth="1"/>
    <col min="9" max="9" width="14.7109375" style="9" bestFit="1" customWidth="1"/>
    <col min="10" max="10" width="14.8515625" style="9" customWidth="1"/>
    <col min="11" max="11" width="14.7109375" style="9" bestFit="1" customWidth="1"/>
    <col min="12" max="12" width="14.8515625" style="9" bestFit="1" customWidth="1"/>
    <col min="13" max="16384" width="12.57421875" style="9" customWidth="1"/>
  </cols>
  <sheetData>
    <row r="1" spans="1:8" ht="12.75">
      <c r="A1" s="6" t="s">
        <v>5</v>
      </c>
      <c r="B1" s="7"/>
      <c r="C1" s="7"/>
      <c r="D1" s="135" t="s">
        <v>375</v>
      </c>
      <c r="E1" s="7"/>
      <c r="F1" s="7"/>
      <c r="G1" s="7"/>
      <c r="H1" s="8"/>
    </row>
    <row r="2" spans="1:8" ht="12.75">
      <c r="A2" s="6" t="s">
        <v>6</v>
      </c>
      <c r="B2" s="7"/>
      <c r="C2" s="7"/>
      <c r="D2" s="7"/>
      <c r="E2" s="7"/>
      <c r="F2" s="7"/>
      <c r="G2" s="7"/>
      <c r="H2" s="8"/>
    </row>
    <row r="3" spans="1:8" ht="12.75">
      <c r="A3" s="10" t="s">
        <v>4</v>
      </c>
      <c r="B3" s="10"/>
      <c r="C3" s="10"/>
      <c r="D3" s="10"/>
      <c r="E3" s="10"/>
      <c r="F3" s="11"/>
      <c r="G3" s="11"/>
      <c r="H3" s="8"/>
    </row>
    <row r="4" spans="1:8" ht="13.5">
      <c r="A4" s="147" t="s">
        <v>328</v>
      </c>
      <c r="B4" s="7"/>
      <c r="C4" s="12" t="s">
        <v>7</v>
      </c>
      <c r="D4" s="12" t="s">
        <v>8</v>
      </c>
      <c r="E4" s="12" t="s">
        <v>9</v>
      </c>
      <c r="F4" s="12" t="s">
        <v>10</v>
      </c>
      <c r="G4" s="12" t="s">
        <v>11</v>
      </c>
      <c r="H4" s="8"/>
    </row>
    <row r="5" spans="1:10" ht="54">
      <c r="A5" s="142" t="s">
        <v>391</v>
      </c>
      <c r="B5" s="14">
        <v>1</v>
      </c>
      <c r="C5" s="142" t="s">
        <v>370</v>
      </c>
      <c r="D5" s="152">
        <v>0</v>
      </c>
      <c r="E5" s="142" t="s">
        <v>371</v>
      </c>
      <c r="F5" s="152">
        <v>0</v>
      </c>
      <c r="G5" s="142" t="s">
        <v>390</v>
      </c>
      <c r="H5" s="14">
        <v>1</v>
      </c>
      <c r="I5" s="18" t="s">
        <v>14</v>
      </c>
      <c r="J5" s="19"/>
    </row>
    <row r="6" spans="1:20" ht="54">
      <c r="A6" s="16" t="s">
        <v>13</v>
      </c>
      <c r="B6" s="17"/>
      <c r="F6" s="7"/>
      <c r="G6" s="7"/>
      <c r="H6" s="8"/>
      <c r="I6"/>
      <c r="J6"/>
      <c r="K6"/>
      <c r="L6"/>
      <c r="S6"/>
      <c r="T6"/>
    </row>
    <row r="7" spans="1:20" ht="12.75">
      <c r="A7" s="20" t="s">
        <v>15</v>
      </c>
      <c r="B7" s="7"/>
      <c r="D7" s="21">
        <f>37.5%*H7</f>
        <v>0.375</v>
      </c>
      <c r="E7" s="21">
        <f>+D7</f>
        <v>0.375</v>
      </c>
      <c r="F7" s="21">
        <f>+E7</f>
        <v>0.375</v>
      </c>
      <c r="G7" s="21">
        <f>+F7</f>
        <v>0.375</v>
      </c>
      <c r="H7" s="155">
        <v>1</v>
      </c>
      <c r="I7"/>
      <c r="K7"/>
      <c r="S7" s="85"/>
      <c r="T7" s="85"/>
    </row>
    <row r="8" spans="1:20" ht="25.5">
      <c r="A8" s="20" t="s">
        <v>16</v>
      </c>
      <c r="B8" s="7"/>
      <c r="C8" s="22">
        <v>0</v>
      </c>
      <c r="D8" s="23">
        <f>22%*H8</f>
        <v>0.22</v>
      </c>
      <c r="E8" s="23">
        <f>23%*H8</f>
        <v>0.23</v>
      </c>
      <c r="F8" s="23">
        <f>21%*H8</f>
        <v>0.21</v>
      </c>
      <c r="G8" s="23">
        <f>20%*H8</f>
        <v>0.2</v>
      </c>
      <c r="H8" s="155">
        <v>1</v>
      </c>
      <c r="I8"/>
      <c r="K8"/>
      <c r="S8" s="85"/>
      <c r="T8" s="85"/>
    </row>
    <row r="9" spans="1:20" ht="12.75">
      <c r="A9" s="20" t="s">
        <v>344</v>
      </c>
      <c r="B9" s="7"/>
      <c r="C9" s="22"/>
      <c r="D9" s="126"/>
      <c r="E9" s="126"/>
      <c r="F9" s="126"/>
      <c r="G9" s="126"/>
      <c r="H9" s="155">
        <v>0</v>
      </c>
      <c r="I9"/>
      <c r="J9" s="85"/>
      <c r="K9"/>
      <c r="L9" s="85"/>
      <c r="S9" s="85"/>
      <c r="T9" s="85"/>
    </row>
    <row r="10" spans="1:20" ht="12.75">
      <c r="A10" s="20" t="s">
        <v>345</v>
      </c>
      <c r="B10" s="126">
        <v>8200</v>
      </c>
      <c r="C10" s="22"/>
      <c r="D10" s="126"/>
      <c r="E10" s="126"/>
      <c r="F10" s="126"/>
      <c r="G10" s="126"/>
      <c r="H10" s="155">
        <v>0</v>
      </c>
      <c r="I10"/>
      <c r="J10" s="85"/>
      <c r="K10"/>
      <c r="L10" s="85"/>
      <c r="S10" s="85"/>
      <c r="T10" s="85"/>
    </row>
    <row r="11" spans="1:20" ht="12.75">
      <c r="A11" s="20" t="s">
        <v>346</v>
      </c>
      <c r="B11" s="126">
        <v>2.71</v>
      </c>
      <c r="C11" s="22"/>
      <c r="D11" s="126"/>
      <c r="E11" s="126"/>
      <c r="F11" s="126"/>
      <c r="G11" s="126"/>
      <c r="H11" s="155">
        <v>0</v>
      </c>
      <c r="I11"/>
      <c r="J11" s="85"/>
      <c r="K11"/>
      <c r="L11" s="85"/>
      <c r="S11" s="85"/>
      <c r="T11" s="85"/>
    </row>
    <row r="12" spans="1:20" ht="12.75">
      <c r="A12" s="20" t="s">
        <v>347</v>
      </c>
      <c r="B12" s="126">
        <v>7200</v>
      </c>
      <c r="C12" s="22"/>
      <c r="D12" s="126"/>
      <c r="E12" s="126"/>
      <c r="F12" s="126"/>
      <c r="G12" s="126"/>
      <c r="H12" s="155">
        <v>0</v>
      </c>
      <c r="I12"/>
      <c r="J12" s="85"/>
      <c r="K12"/>
      <c r="L12" s="85"/>
      <c r="S12" s="85"/>
      <c r="T12" s="85"/>
    </row>
    <row r="13" spans="1:20" ht="12.75">
      <c r="A13" s="20" t="s">
        <v>348</v>
      </c>
      <c r="B13" s="126">
        <v>5.82</v>
      </c>
      <c r="C13" s="22"/>
      <c r="D13" s="126"/>
      <c r="E13" s="126"/>
      <c r="F13" s="126"/>
      <c r="G13" s="126"/>
      <c r="H13" s="155">
        <v>0</v>
      </c>
      <c r="I13"/>
      <c r="J13" s="85"/>
      <c r="K13"/>
      <c r="L13" s="85"/>
      <c r="S13" s="85"/>
      <c r="T13" s="85"/>
    </row>
    <row r="14" spans="1:19" ht="30.75" customHeight="1">
      <c r="A14" s="20" t="s">
        <v>17</v>
      </c>
      <c r="B14" s="7"/>
      <c r="C14" s="86">
        <f>IF(AND(C34&gt;B11,C34&lt;B13)=TRUE,9714*C34^-0.1701,IF(C34&gt;B13,B12,B10))</f>
        <v>7246.550377606568</v>
      </c>
      <c r="D14" s="24"/>
      <c r="E14" s="24"/>
      <c r="F14" s="24"/>
      <c r="G14" s="24"/>
      <c r="H14" s="155">
        <v>0</v>
      </c>
      <c r="P14"/>
      <c r="Q14" s="85"/>
      <c r="R14"/>
      <c r="S14" s="85"/>
    </row>
    <row r="15" spans="1:8" ht="12.75">
      <c r="A15" s="20" t="s">
        <v>18</v>
      </c>
      <c r="B15" s="7"/>
      <c r="C15" s="22">
        <v>0</v>
      </c>
      <c r="D15" s="25">
        <v>0</v>
      </c>
      <c r="E15" s="23">
        <f>7%*H15</f>
        <v>0.07</v>
      </c>
      <c r="F15" s="23">
        <f>5%*H15</f>
        <v>0.05</v>
      </c>
      <c r="G15" s="23">
        <f>4%*H15</f>
        <v>0.04</v>
      </c>
      <c r="H15" s="155">
        <v>1</v>
      </c>
    </row>
    <row r="16" spans="1:8" ht="12.75">
      <c r="A16" s="20" t="s">
        <v>19</v>
      </c>
      <c r="B16" s="7"/>
      <c r="C16" s="22">
        <v>0</v>
      </c>
      <c r="D16" s="23">
        <f>6%*H16</f>
        <v>0.06</v>
      </c>
      <c r="E16" s="23">
        <f>D16</f>
        <v>0.06</v>
      </c>
      <c r="F16" s="23">
        <f>E16</f>
        <v>0.06</v>
      </c>
      <c r="G16" s="23">
        <f>F16</f>
        <v>0.06</v>
      </c>
      <c r="H16" s="155">
        <v>1</v>
      </c>
    </row>
    <row r="17" spans="1:8" ht="30" customHeight="1">
      <c r="A17" s="20" t="s">
        <v>20</v>
      </c>
      <c r="B17" s="7"/>
      <c r="C17" s="7"/>
      <c r="D17" s="27"/>
      <c r="E17" s="27"/>
      <c r="F17" s="27"/>
      <c r="G17" s="27"/>
      <c r="H17" s="155">
        <v>0</v>
      </c>
    </row>
    <row r="18" spans="1:8" ht="12.75">
      <c r="A18" s="13" t="s">
        <v>21</v>
      </c>
      <c r="B18" s="7"/>
      <c r="C18" s="28">
        <v>0</v>
      </c>
      <c r="D18" s="23">
        <f>10%*H18</f>
        <v>0.1</v>
      </c>
      <c r="E18" s="23">
        <f>D18</f>
        <v>0.1</v>
      </c>
      <c r="F18" s="23">
        <f>E18</f>
        <v>0.1</v>
      </c>
      <c r="G18" s="23">
        <f>F18</f>
        <v>0.1</v>
      </c>
      <c r="H18" s="155">
        <v>1</v>
      </c>
    </row>
    <row r="19" spans="1:8" ht="12.75">
      <c r="A19" s="13" t="s">
        <v>178</v>
      </c>
      <c r="D19" s="77">
        <f>+((1+D8)*(1+D16)*(1+D196*D18)-1)</f>
        <v>0.3344137974928152</v>
      </c>
      <c r="E19" s="77">
        <f>+((1+E8)*(1+E16)*(1+E196*E18)-1)</f>
        <v>0.3304294375454939</v>
      </c>
      <c r="F19" s="77">
        <f>+((1+F8)*(1+F16)*(1+F196*F18)-1)</f>
        <v>0.3131299147026607</v>
      </c>
      <c r="G19" s="77">
        <f>+((1+G8)*(1+G16)*(1+G196*G18)-1)</f>
        <v>0.303148692446525</v>
      </c>
      <c r="H19" s="155">
        <v>0</v>
      </c>
    </row>
    <row r="20" spans="1:8" ht="12.75">
      <c r="A20" s="13" t="s">
        <v>22</v>
      </c>
      <c r="B20" s="7"/>
      <c r="C20" s="28"/>
      <c r="D20" s="29">
        <f>2*((1+D19)^(1/2)-1)</f>
        <v>0.3103365966826699</v>
      </c>
      <c r="E20" s="29">
        <f>2*((1+E19)^(1/2)-1)</f>
        <v>0.3068848584578241</v>
      </c>
      <c r="F20" s="29">
        <f>2*((1+F19)^(1/2)-1)</f>
        <v>0.29183761615229686</v>
      </c>
      <c r="G20" s="29">
        <f>2*((1+G19)^(1/2)-1)</f>
        <v>0.28311076599145757</v>
      </c>
      <c r="H20" s="155">
        <v>0</v>
      </c>
    </row>
    <row r="21" spans="1:8" ht="16.5" customHeight="1">
      <c r="A21" s="13" t="s">
        <v>23</v>
      </c>
      <c r="B21" s="7"/>
      <c r="C21" s="29"/>
      <c r="D21" s="29">
        <f>IF(D20=0,0,0.7782*D20-0.0201)</f>
        <v>0.2214039395384537</v>
      </c>
      <c r="E21" s="29">
        <f>IF(E20=0,0,0.7782*E20-0.0201)</f>
        <v>0.2187177968518787</v>
      </c>
      <c r="F21" s="29">
        <f>IF(F20=0,0,0.7782*F20-0.0201)</f>
        <v>0.20700803288971742</v>
      </c>
      <c r="G21" s="29">
        <f>IF(G20=0,0,0.7782*G20-0.0201)</f>
        <v>0.20021679809455228</v>
      </c>
      <c r="H21" s="155">
        <v>0</v>
      </c>
    </row>
    <row r="22" spans="1:8" ht="63.75">
      <c r="A22" s="20" t="s">
        <v>24</v>
      </c>
      <c r="B22" s="7"/>
      <c r="C22" s="29"/>
      <c r="D22" s="29"/>
      <c r="E22" s="29"/>
      <c r="F22" s="29"/>
      <c r="G22" s="29"/>
      <c r="H22" s="155">
        <v>0</v>
      </c>
    </row>
    <row r="23" spans="1:8" ht="18.75" customHeight="1">
      <c r="A23" s="13" t="s">
        <v>25</v>
      </c>
      <c r="B23" s="7"/>
      <c r="C23" s="22">
        <v>0</v>
      </c>
      <c r="D23" s="23">
        <f>15%*H23</f>
        <v>0.15</v>
      </c>
      <c r="E23" s="23">
        <f>D23</f>
        <v>0.15</v>
      </c>
      <c r="F23" s="23">
        <f>E23</f>
        <v>0.15</v>
      </c>
      <c r="G23" s="23">
        <f>F23</f>
        <v>0.15</v>
      </c>
      <c r="H23" s="155">
        <v>1</v>
      </c>
    </row>
    <row r="24" spans="1:8" ht="12.75">
      <c r="A24" s="30" t="s">
        <v>26</v>
      </c>
      <c r="B24" s="7"/>
      <c r="C24" s="7"/>
      <c r="D24" s="29">
        <f>+IF(D115&lt;0,(1+D8)*(1+D16)*(1+D23)-1,((1+D8)*(1+D16)*(1+IF(D196&gt;1,1,D196)*D23)-1))*1</f>
        <v>0.3550206962392224</v>
      </c>
      <c r="E24" s="29">
        <f>+IF(E115&lt;0,(1+E8)*(1+E16)*(1+E23)-1,((1+E8)*(1+E16)*(1+IF(E196&gt;1,1,E196)*E23)-1))*1</f>
        <v>0.34374415631824107</v>
      </c>
      <c r="F24" s="29">
        <f>+IF(F115&lt;0,(1+F8)*(1+F16)*(1+F23)-1,((1+F8)*(1+F16)*(1+IF(F196&gt;1,1,F196)*F23)-1))*1</f>
        <v>0.3283948720539913</v>
      </c>
      <c r="G24" s="29">
        <f>+IF(G115&lt;0,(1+G8)*(1+G16)*(1+G23)-1,((1+G8)*(1+G16)*(1+IF(G196&gt;1,1,G196)*G23)-1))*1</f>
        <v>0.3187230386697877</v>
      </c>
      <c r="H24" s="155">
        <v>0</v>
      </c>
    </row>
    <row r="25" spans="1:8" ht="22.5">
      <c r="A25" s="30" t="s">
        <v>187</v>
      </c>
      <c r="B25" s="7"/>
      <c r="C25" s="7"/>
      <c r="D25" s="29">
        <f>IF((1+D8)*(1+D16)-1=0,0,((1+D8)*(1+D16)-1))</f>
        <v>0.2932000000000001</v>
      </c>
      <c r="E25" s="29">
        <f>IF((1+E8)*(1+E16)-1=0,0,((1+E8)*(1+E16)-1))</f>
        <v>0.30380000000000007</v>
      </c>
      <c r="F25" s="29">
        <f>IF((1+F8)*(1+F16)-1=0,0,((1+F8)*(1+F16)-1))</f>
        <v>0.28259999999999996</v>
      </c>
      <c r="G25" s="29">
        <f>IF((1+G8)*(1+G16)-1=0,0,((1+G8)*(1+G16)-1))</f>
        <v>0.272</v>
      </c>
      <c r="H25" s="155">
        <v>0</v>
      </c>
    </row>
    <row r="26" spans="1:8" ht="12.75">
      <c r="A26" s="31" t="s">
        <v>27</v>
      </c>
      <c r="B26" s="7"/>
      <c r="C26" s="7"/>
      <c r="D26" s="29">
        <f>+((D111+D112+D113)*D24+D109*D21)/(D115)</f>
        <v>0.2891684401735897</v>
      </c>
      <c r="E26" s="29">
        <f>+((E111+E112+E113)*E24+E109*E21)/(E115)</f>
        <v>0.2742146215296837</v>
      </c>
      <c r="F26" s="29">
        <f>+((F111+F112+F113)*F24+F109*F21)/(F115)</f>
        <v>0.25022656211636796</v>
      </c>
      <c r="G26" s="29">
        <f>+((G111+G112+G113)*G24+G109*G21)/(G115)</f>
        <v>0.24067425009158694</v>
      </c>
      <c r="H26" s="155">
        <v>0</v>
      </c>
    </row>
    <row r="27" spans="1:10" ht="21">
      <c r="A27" s="31" t="s">
        <v>28</v>
      </c>
      <c r="B27" s="7"/>
      <c r="C27" s="7"/>
      <c r="D27" s="29">
        <f>MAX(D26,D25)</f>
        <v>0.2932000000000001</v>
      </c>
      <c r="E27" s="29">
        <f>MAX(E26,E25)</f>
        <v>0.30380000000000007</v>
      </c>
      <c r="F27" s="29">
        <f>MAX(F26,F25)</f>
        <v>0.28259999999999996</v>
      </c>
      <c r="G27" s="29">
        <f>MAX(G26,G25)</f>
        <v>0.272</v>
      </c>
      <c r="H27" s="155">
        <v>0</v>
      </c>
      <c r="J27" s="31"/>
    </row>
    <row r="28" spans="1:8" ht="12.75">
      <c r="A28" s="31" t="s">
        <v>278</v>
      </c>
      <c r="B28" s="33"/>
      <c r="C28" s="34"/>
      <c r="D28" s="29"/>
      <c r="E28" s="29"/>
      <c r="F28" s="29"/>
      <c r="G28" s="29">
        <f>G256</f>
        <v>0.3105828489263893</v>
      </c>
      <c r="H28" s="155">
        <v>0</v>
      </c>
    </row>
    <row r="29" spans="1:8" ht="12.75">
      <c r="A29" s="31" t="s">
        <v>279</v>
      </c>
      <c r="B29" s="33"/>
      <c r="C29" s="34"/>
      <c r="D29" s="29"/>
      <c r="E29" s="29"/>
      <c r="F29" s="29"/>
      <c r="G29" s="29">
        <v>0.06</v>
      </c>
      <c r="H29" s="155">
        <v>0</v>
      </c>
    </row>
    <row r="30" spans="1:8" ht="12.75">
      <c r="A30" s="31" t="s">
        <v>280</v>
      </c>
      <c r="B30" s="33"/>
      <c r="C30" s="34"/>
      <c r="D30" s="29"/>
      <c r="E30" s="29"/>
      <c r="F30" s="29"/>
      <c r="G30" s="29">
        <f>G29</f>
        <v>0.06</v>
      </c>
      <c r="H30" s="155">
        <v>0</v>
      </c>
    </row>
    <row r="31" spans="1:8" ht="12.75">
      <c r="A31" s="20" t="s">
        <v>29</v>
      </c>
      <c r="B31" s="7"/>
      <c r="C31" s="35">
        <f>6.15*EXP(-0.0001016*C14)</f>
        <v>2.945276095942186</v>
      </c>
      <c r="D31" s="36"/>
      <c r="E31" s="36"/>
      <c r="F31" s="36"/>
      <c r="G31" s="36"/>
      <c r="H31" s="155">
        <v>0</v>
      </c>
    </row>
    <row r="32" spans="1:8" ht="12.75">
      <c r="A32" s="20" t="s">
        <v>30</v>
      </c>
      <c r="B32" s="7"/>
      <c r="C32" s="22">
        <v>0</v>
      </c>
      <c r="D32" s="37">
        <f>23%*H32</f>
        <v>0.23</v>
      </c>
      <c r="E32" s="37">
        <f>24%*H32</f>
        <v>0.24</v>
      </c>
      <c r="F32" s="37">
        <f>22%*H32</f>
        <v>0.22</v>
      </c>
      <c r="G32" s="37">
        <f>22%*H32</f>
        <v>0.22</v>
      </c>
      <c r="H32" s="155">
        <v>1</v>
      </c>
    </row>
    <row r="33" spans="1:8" ht="54">
      <c r="A33" s="16" t="s">
        <v>31</v>
      </c>
      <c r="B33" s="17"/>
      <c r="C33" s="7"/>
      <c r="D33" s="8"/>
      <c r="E33" s="7"/>
      <c r="F33" s="7"/>
      <c r="G33" s="7"/>
      <c r="H33" s="155">
        <v>0</v>
      </c>
    </row>
    <row r="34" spans="1:8" ht="12.75">
      <c r="A34" s="20" t="s">
        <v>32</v>
      </c>
      <c r="B34" s="7"/>
      <c r="C34" s="38">
        <v>5.6</v>
      </c>
      <c r="D34" s="39">
        <v>0</v>
      </c>
      <c r="E34" s="15">
        <v>0</v>
      </c>
      <c r="F34" s="15">
        <v>0</v>
      </c>
      <c r="G34" s="15">
        <v>0</v>
      </c>
      <c r="H34" s="155">
        <v>1</v>
      </c>
    </row>
    <row r="35" spans="1:8" ht="12.75">
      <c r="A35" s="20" t="s">
        <v>33</v>
      </c>
      <c r="B35" s="7"/>
      <c r="C35" s="22">
        <v>0</v>
      </c>
      <c r="D35" s="37">
        <v>0.26</v>
      </c>
      <c r="E35" s="37">
        <v>0.25</v>
      </c>
      <c r="F35" s="37">
        <v>0.23</v>
      </c>
      <c r="G35" s="37">
        <v>0.21</v>
      </c>
      <c r="H35" s="155">
        <v>1</v>
      </c>
    </row>
    <row r="36" spans="1:8" ht="51">
      <c r="A36" s="20" t="s">
        <v>34</v>
      </c>
      <c r="B36" s="7"/>
      <c r="C36" s="7"/>
      <c r="D36" s="40">
        <f>(1-0.366*((1+D35)/(1+D8)-1))</f>
        <v>0.988</v>
      </c>
      <c r="E36" s="40">
        <f>(1-0.366*((1+E35)/(1+E8)-1))</f>
        <v>0.9940487804878049</v>
      </c>
      <c r="F36" s="40">
        <f>(1-0.366*((1+F35)/(1+F8)-1))</f>
        <v>0.9939504132231405</v>
      </c>
      <c r="G36" s="40">
        <f>(1-0.366*((1+G35)/(1+G8)-1))</f>
        <v>0.99695</v>
      </c>
      <c r="H36" s="155">
        <v>0</v>
      </c>
    </row>
    <row r="37" spans="1:8" ht="12.75">
      <c r="A37" s="20" t="s">
        <v>255</v>
      </c>
      <c r="C37" s="38">
        <f>37*H37</f>
        <v>37</v>
      </c>
      <c r="D37" s="39">
        <v>0</v>
      </c>
      <c r="E37" s="39">
        <v>0</v>
      </c>
      <c r="F37" s="39">
        <v>0</v>
      </c>
      <c r="G37" s="39">
        <v>0</v>
      </c>
      <c r="H37" s="155">
        <v>1</v>
      </c>
    </row>
    <row r="38" spans="1:8" ht="12.75">
      <c r="A38" s="20" t="s">
        <v>256</v>
      </c>
      <c r="C38" s="22">
        <v>0</v>
      </c>
      <c r="D38" s="37">
        <f>25%*H38</f>
        <v>0.25</v>
      </c>
      <c r="E38" s="37">
        <f>23%*H38</f>
        <v>0.23</v>
      </c>
      <c r="F38" s="37">
        <f>21%*H38</f>
        <v>0.21</v>
      </c>
      <c r="G38" s="37">
        <f>21%*H38</f>
        <v>0.21</v>
      </c>
      <c r="H38" s="155">
        <v>1</v>
      </c>
    </row>
    <row r="39" spans="1:8" ht="12.75">
      <c r="A39" s="20" t="s">
        <v>35</v>
      </c>
      <c r="B39" s="20"/>
      <c r="C39" s="38">
        <f>145*H39</f>
        <v>145</v>
      </c>
      <c r="D39" s="39">
        <v>0</v>
      </c>
      <c r="E39" s="39">
        <v>0</v>
      </c>
      <c r="F39" s="39">
        <v>0</v>
      </c>
      <c r="G39" s="39">
        <v>0</v>
      </c>
      <c r="H39" s="155">
        <v>1</v>
      </c>
    </row>
    <row r="40" spans="1:8" ht="12.75">
      <c r="A40" s="20" t="s">
        <v>36</v>
      </c>
      <c r="B40" s="20"/>
      <c r="C40" s="22">
        <v>0</v>
      </c>
      <c r="D40" s="37">
        <f>23%*H40</f>
        <v>0.23</v>
      </c>
      <c r="E40" s="37">
        <f>24%*H40</f>
        <v>0.24</v>
      </c>
      <c r="F40" s="37">
        <f>23%*H40</f>
        <v>0.23</v>
      </c>
      <c r="G40" s="37">
        <f>23%*H40</f>
        <v>0.23</v>
      </c>
      <c r="H40" s="155">
        <v>1</v>
      </c>
    </row>
    <row r="41" spans="1:8" ht="12.75">
      <c r="A41" s="41" t="s">
        <v>37</v>
      </c>
      <c r="B41" s="7"/>
      <c r="C41" s="42"/>
      <c r="D41" s="43"/>
      <c r="E41" s="7"/>
      <c r="F41" s="7"/>
      <c r="G41" s="7"/>
      <c r="H41" s="155">
        <v>0</v>
      </c>
    </row>
    <row r="42" spans="1:8" ht="12.75">
      <c r="A42" s="6" t="s">
        <v>38</v>
      </c>
      <c r="B42" s="7"/>
      <c r="C42" s="44">
        <f>160*H42</f>
        <v>160</v>
      </c>
      <c r="D42" s="39">
        <v>0</v>
      </c>
      <c r="E42" s="15">
        <v>0</v>
      </c>
      <c r="F42" s="15">
        <v>0</v>
      </c>
      <c r="G42" s="15">
        <v>0</v>
      </c>
      <c r="H42" s="155">
        <v>1</v>
      </c>
    </row>
    <row r="43" spans="1:8" ht="12.75">
      <c r="A43" s="6" t="s">
        <v>39</v>
      </c>
      <c r="B43" s="7"/>
      <c r="C43" s="44">
        <f>40*H43</f>
        <v>40</v>
      </c>
      <c r="D43" s="39">
        <v>0</v>
      </c>
      <c r="E43" s="15">
        <v>0</v>
      </c>
      <c r="F43" s="15">
        <v>0</v>
      </c>
      <c r="G43" s="15">
        <v>0</v>
      </c>
      <c r="H43" s="155">
        <v>1</v>
      </c>
    </row>
    <row r="44" spans="1:8" ht="12.75">
      <c r="A44" s="20" t="s">
        <v>40</v>
      </c>
      <c r="B44" s="7"/>
      <c r="C44" s="22">
        <v>0</v>
      </c>
      <c r="D44" s="37">
        <f>25%*H44</f>
        <v>0.25</v>
      </c>
      <c r="E44" s="37">
        <f>23%*H44</f>
        <v>0.23</v>
      </c>
      <c r="F44" s="37">
        <f>21%*H44</f>
        <v>0.21</v>
      </c>
      <c r="G44" s="37">
        <f>21%*H44</f>
        <v>0.21</v>
      </c>
      <c r="H44" s="155">
        <v>1</v>
      </c>
    </row>
    <row r="45" spans="1:8" ht="12.75">
      <c r="A45" s="20" t="s">
        <v>41</v>
      </c>
      <c r="B45" s="7"/>
      <c r="C45" s="22">
        <v>0</v>
      </c>
      <c r="D45" s="23">
        <f>3%*H45</f>
        <v>0.03</v>
      </c>
      <c r="E45" s="23">
        <f>D45</f>
        <v>0.03</v>
      </c>
      <c r="F45" s="23">
        <f>E45</f>
        <v>0.03</v>
      </c>
      <c r="G45" s="23">
        <f>F45</f>
        <v>0.03</v>
      </c>
      <c r="H45" s="155">
        <v>1</v>
      </c>
    </row>
    <row r="46" spans="1:8" ht="25.5">
      <c r="A46" s="20" t="s">
        <v>183</v>
      </c>
      <c r="B46" s="7"/>
      <c r="C46" s="45">
        <f>56.9336305442154%*H46</f>
        <v>0.569336305442154</v>
      </c>
      <c r="D46" s="15">
        <v>0</v>
      </c>
      <c r="E46" s="15">
        <v>0</v>
      </c>
      <c r="F46" s="15">
        <v>0</v>
      </c>
      <c r="G46" s="15">
        <v>0</v>
      </c>
      <c r="H46" s="155">
        <v>1</v>
      </c>
    </row>
    <row r="47" spans="1:8" ht="40.5">
      <c r="A47" s="16" t="s">
        <v>42</v>
      </c>
      <c r="B47" s="7"/>
      <c r="C47" s="7"/>
      <c r="D47" s="7"/>
      <c r="E47" s="7"/>
      <c r="F47" s="7"/>
      <c r="G47" s="7"/>
      <c r="H47" s="155">
        <v>0</v>
      </c>
    </row>
    <row r="48" spans="1:8" ht="64.5" customHeight="1">
      <c r="A48" s="20" t="s">
        <v>389</v>
      </c>
      <c r="B48" s="139"/>
      <c r="C48" s="140"/>
      <c r="D48" s="141"/>
      <c r="E48" s="141"/>
      <c r="F48" s="141"/>
      <c r="G48" s="141"/>
      <c r="H48" s="155">
        <v>0</v>
      </c>
    </row>
    <row r="49" spans="1:8" ht="12.75">
      <c r="A49" s="20" t="s">
        <v>44</v>
      </c>
      <c r="B49" s="7"/>
      <c r="C49" s="22">
        <v>0</v>
      </c>
      <c r="D49" s="23">
        <f>3%*H49</f>
        <v>0.03</v>
      </c>
      <c r="E49" s="23">
        <f>D49</f>
        <v>0.03</v>
      </c>
      <c r="F49" s="23">
        <f>E49</f>
        <v>0.03</v>
      </c>
      <c r="G49" s="23">
        <f>F49</f>
        <v>0.03</v>
      </c>
      <c r="H49" s="155">
        <v>1</v>
      </c>
    </row>
    <row r="50" spans="1:8" ht="12.75">
      <c r="A50" s="20" t="s">
        <v>45</v>
      </c>
      <c r="B50" s="7"/>
      <c r="C50" s="44">
        <f>24000*H50</f>
        <v>24000</v>
      </c>
      <c r="D50" s="44">
        <v>0</v>
      </c>
      <c r="E50" s="44">
        <v>0</v>
      </c>
      <c r="F50" s="44">
        <v>0</v>
      </c>
      <c r="G50" s="44">
        <v>0</v>
      </c>
      <c r="H50" s="155">
        <v>1</v>
      </c>
    </row>
    <row r="51" spans="1:8" ht="12.75">
      <c r="A51" s="20" t="s">
        <v>46</v>
      </c>
      <c r="B51" s="7"/>
      <c r="C51" s="44">
        <f>40000*H51</f>
        <v>40000</v>
      </c>
      <c r="D51" s="44">
        <v>0</v>
      </c>
      <c r="E51" s="44">
        <v>0</v>
      </c>
      <c r="F51" s="44">
        <v>0</v>
      </c>
      <c r="G51" s="44">
        <v>0</v>
      </c>
      <c r="H51" s="155">
        <v>1</v>
      </c>
    </row>
    <row r="52" spans="1:8" ht="25.5">
      <c r="A52" s="20" t="s">
        <v>47</v>
      </c>
      <c r="B52" s="7"/>
      <c r="C52" s="7"/>
      <c r="D52" s="7"/>
      <c r="E52" s="7"/>
      <c r="F52" s="7"/>
      <c r="G52" s="7"/>
      <c r="H52" s="155">
        <v>0</v>
      </c>
    </row>
    <row r="53" spans="1:8" ht="25.5">
      <c r="A53" s="20" t="s">
        <v>48</v>
      </c>
      <c r="B53" s="7"/>
      <c r="C53" s="44">
        <v>0</v>
      </c>
      <c r="D53" s="44">
        <v>0</v>
      </c>
      <c r="E53" s="44">
        <v>0</v>
      </c>
      <c r="F53" s="44">
        <v>0</v>
      </c>
      <c r="G53" s="44">
        <v>0</v>
      </c>
      <c r="H53" s="155">
        <v>1</v>
      </c>
    </row>
    <row r="54" spans="1:8" ht="25.5">
      <c r="A54" s="20" t="s">
        <v>410</v>
      </c>
      <c r="B54" s="7"/>
      <c r="C54" s="22">
        <v>0</v>
      </c>
      <c r="D54" s="159">
        <f>12*H54</f>
        <v>12</v>
      </c>
      <c r="E54" s="159">
        <f>D54</f>
        <v>12</v>
      </c>
      <c r="F54" s="159">
        <f>E54</f>
        <v>12</v>
      </c>
      <c r="G54" s="159">
        <f>F54</f>
        <v>12</v>
      </c>
      <c r="H54" s="155">
        <v>1</v>
      </c>
    </row>
    <row r="55" spans="1:8" ht="25.5">
      <c r="A55" s="20" t="s">
        <v>50</v>
      </c>
      <c r="B55" s="7"/>
      <c r="C55" s="22"/>
      <c r="D55" s="7"/>
      <c r="E55" s="7"/>
      <c r="F55" s="7"/>
      <c r="G55" s="7"/>
      <c r="H55" s="155">
        <v>0</v>
      </c>
    </row>
    <row r="56" spans="1:8" ht="25.5">
      <c r="A56" s="20" t="s">
        <v>51</v>
      </c>
      <c r="B56" s="7"/>
      <c r="C56" s="22">
        <v>0</v>
      </c>
      <c r="D56" s="23">
        <f>95%*H56</f>
        <v>0.95</v>
      </c>
      <c r="E56" s="23">
        <f>+D56</f>
        <v>0.95</v>
      </c>
      <c r="F56" s="23">
        <f>+E56</f>
        <v>0.95</v>
      </c>
      <c r="G56" s="23">
        <f>+F56</f>
        <v>0.95</v>
      </c>
      <c r="H56" s="155">
        <v>1</v>
      </c>
    </row>
    <row r="57" spans="1:8" ht="25.5">
      <c r="A57" s="20" t="s">
        <v>52</v>
      </c>
      <c r="B57" s="7"/>
      <c r="C57" s="22"/>
      <c r="D57" s="26">
        <f>1-D56</f>
        <v>0.050000000000000044</v>
      </c>
      <c r="E57" s="26">
        <f>1-E56</f>
        <v>0.050000000000000044</v>
      </c>
      <c r="F57" s="26">
        <f>1-F56</f>
        <v>0.050000000000000044</v>
      </c>
      <c r="G57" s="26">
        <f>1-G56</f>
        <v>0.050000000000000044</v>
      </c>
      <c r="H57" s="155">
        <v>0</v>
      </c>
    </row>
    <row r="58" spans="1:8" ht="38.25">
      <c r="A58" s="20" t="s">
        <v>53</v>
      </c>
      <c r="B58" s="7"/>
      <c r="C58" s="22">
        <v>0</v>
      </c>
      <c r="D58" s="23">
        <f>90%*H58</f>
        <v>0.9</v>
      </c>
      <c r="E58" s="23">
        <f>+D58</f>
        <v>0.9</v>
      </c>
      <c r="F58" s="23">
        <f>+E58</f>
        <v>0.9</v>
      </c>
      <c r="G58" s="23">
        <f>+F58</f>
        <v>0.9</v>
      </c>
      <c r="H58" s="155">
        <v>1</v>
      </c>
    </row>
    <row r="59" spans="1:8" ht="38.25">
      <c r="A59" s="20" t="s">
        <v>54</v>
      </c>
      <c r="B59" s="7"/>
      <c r="C59" s="7"/>
      <c r="D59" s="26">
        <f>1-D58</f>
        <v>0.09999999999999998</v>
      </c>
      <c r="E59" s="26">
        <f>1-E58</f>
        <v>0.09999999999999998</v>
      </c>
      <c r="F59" s="26">
        <f>1-F58</f>
        <v>0.09999999999999998</v>
      </c>
      <c r="G59" s="26">
        <f>1-G58</f>
        <v>0.09999999999999998</v>
      </c>
      <c r="H59" s="155">
        <v>0</v>
      </c>
    </row>
    <row r="60" spans="1:8" ht="27.75" customHeight="1">
      <c r="A60" s="20" t="s">
        <v>343</v>
      </c>
      <c r="B60" s="7"/>
      <c r="C60" s="22">
        <v>0</v>
      </c>
      <c r="D60" s="7">
        <v>0</v>
      </c>
      <c r="E60" s="7">
        <v>0</v>
      </c>
      <c r="F60" s="7">
        <v>0</v>
      </c>
      <c r="G60" s="107">
        <f>+G227</f>
        <v>118088.094913637</v>
      </c>
      <c r="H60" s="155">
        <v>0</v>
      </c>
    </row>
    <row r="61" spans="1:8" ht="38.25">
      <c r="A61" s="20" t="s">
        <v>55</v>
      </c>
      <c r="B61" s="7"/>
      <c r="C61" s="22">
        <v>0</v>
      </c>
      <c r="D61" s="23">
        <f>30%*H61</f>
        <v>0.3</v>
      </c>
      <c r="E61" s="23">
        <f>D61</f>
        <v>0.3</v>
      </c>
      <c r="F61" s="23">
        <f>E61</f>
        <v>0.3</v>
      </c>
      <c r="G61" s="23">
        <f>F61</f>
        <v>0.3</v>
      </c>
      <c r="H61" s="155">
        <v>1</v>
      </c>
    </row>
    <row r="62" spans="1:8" ht="38.25">
      <c r="A62" s="20" t="s">
        <v>181</v>
      </c>
      <c r="B62" s="7"/>
      <c r="C62" s="46">
        <f>100*H62</f>
        <v>100</v>
      </c>
      <c r="D62" s="46">
        <f>110*H62</f>
        <v>110</v>
      </c>
      <c r="E62" s="46">
        <f>121*H62</f>
        <v>121</v>
      </c>
      <c r="F62" s="46">
        <f>150*H62</f>
        <v>150</v>
      </c>
      <c r="G62" s="46">
        <f>150*H62</f>
        <v>150</v>
      </c>
      <c r="H62" s="155">
        <v>1</v>
      </c>
    </row>
    <row r="63" spans="1:8" ht="38.25">
      <c r="A63" s="20" t="s">
        <v>182</v>
      </c>
      <c r="C63" s="46">
        <f>110*H63</f>
        <v>110</v>
      </c>
      <c r="D63" s="46">
        <f>120*H63</f>
        <v>120</v>
      </c>
      <c r="E63" s="46">
        <f>131*H63</f>
        <v>131</v>
      </c>
      <c r="F63" s="46">
        <f>160*H63</f>
        <v>160</v>
      </c>
      <c r="G63" s="46">
        <f>160*H63</f>
        <v>160</v>
      </c>
      <c r="H63" s="155">
        <v>1</v>
      </c>
    </row>
    <row r="64" spans="1:8" ht="12.75">
      <c r="A64" s="47" t="s">
        <v>56</v>
      </c>
      <c r="B64" s="7"/>
      <c r="C64" s="7"/>
      <c r="D64" s="7"/>
      <c r="E64" s="48"/>
      <c r="F64" s="7"/>
      <c r="H64" s="8"/>
    </row>
    <row r="65" spans="1:9" ht="25.5">
      <c r="A65" s="49" t="s">
        <v>57</v>
      </c>
      <c r="B65" s="7"/>
      <c r="C65" s="7"/>
      <c r="D65" s="50">
        <f>C14*D36</f>
        <v>7159.591773075289</v>
      </c>
      <c r="E65" s="3">
        <f>D65*E36*(1+E15)</f>
        <v>7615.172313773132</v>
      </c>
      <c r="F65" s="3">
        <f>E65*F36*(1+F15)</f>
        <v>7947.558851442235</v>
      </c>
      <c r="G65" s="3">
        <f>F65*G36*(1+G15)</f>
        <v>8240.251548823151</v>
      </c>
      <c r="H65" s="8"/>
      <c r="I65" s="24"/>
    </row>
    <row r="66" spans="1:8" ht="12.75">
      <c r="A66" s="6" t="s">
        <v>58</v>
      </c>
      <c r="B66" s="7"/>
      <c r="C66" s="7"/>
      <c r="D66" s="3"/>
      <c r="E66" s="51">
        <f>E65/D65-1</f>
        <v>0.06363219512195117</v>
      </c>
      <c r="F66" s="51">
        <f>F65/E65-1</f>
        <v>0.04364793388429744</v>
      </c>
      <c r="G66" s="51">
        <f>G65/F65-1</f>
        <v>0.03682800000000008</v>
      </c>
      <c r="H66" s="8"/>
    </row>
    <row r="67" spans="1:8" ht="12.75">
      <c r="A67" s="6" t="s">
        <v>59</v>
      </c>
      <c r="B67" s="7"/>
      <c r="C67" s="7"/>
      <c r="D67" s="50">
        <f>D65/D54</f>
        <v>596.6326477562741</v>
      </c>
      <c r="E67" s="50">
        <f>E65/E54</f>
        <v>634.5976928144277</v>
      </c>
      <c r="F67" s="50">
        <f>F65/F54</f>
        <v>662.2965709535196</v>
      </c>
      <c r="G67" s="50">
        <f>G65/G54</f>
        <v>686.6876290685959</v>
      </c>
      <c r="H67" s="8"/>
    </row>
    <row r="68" spans="1:8" ht="12.75">
      <c r="A68" s="6" t="s">
        <v>60</v>
      </c>
      <c r="B68" s="7"/>
      <c r="C68" s="7"/>
      <c r="D68" s="50">
        <v>0</v>
      </c>
      <c r="E68" s="50">
        <f>D67</f>
        <v>596.6326477562741</v>
      </c>
      <c r="F68" s="50">
        <f>E67</f>
        <v>634.5976928144277</v>
      </c>
      <c r="G68" s="50">
        <f>F67</f>
        <v>662.2965709535196</v>
      </c>
      <c r="H68" s="8"/>
    </row>
    <row r="69" spans="1:8" ht="12.75">
      <c r="A69" s="6" t="s">
        <v>61</v>
      </c>
      <c r="B69" s="7"/>
      <c r="C69" s="7"/>
      <c r="D69" s="50">
        <f>D65+D67-D68</f>
        <v>7756.224420831563</v>
      </c>
      <c r="E69" s="50">
        <f>E65+E67-E68</f>
        <v>7653.137358831285</v>
      </c>
      <c r="F69" s="50">
        <f>F65+F67-F68</f>
        <v>7975.257729581327</v>
      </c>
      <c r="G69" s="50">
        <f>G65+G67-G68</f>
        <v>8264.642606938227</v>
      </c>
      <c r="H69" s="8"/>
    </row>
    <row r="70" spans="1:8" ht="12.75">
      <c r="A70" s="6" t="s">
        <v>62</v>
      </c>
      <c r="B70" s="7"/>
      <c r="C70" s="7"/>
      <c r="D70" s="50">
        <f>(C51+C53)/5</f>
        <v>8000</v>
      </c>
      <c r="E70" s="50">
        <f>+D70+(D51+D53)/5</f>
        <v>8000</v>
      </c>
      <c r="F70" s="50">
        <f>+E70+(E51+E53)/5</f>
        <v>8000</v>
      </c>
      <c r="G70" s="50">
        <f>+F70+(F51+F53)/5</f>
        <v>8000</v>
      </c>
      <c r="H70" s="8"/>
    </row>
    <row r="71" spans="1:8" ht="12.75">
      <c r="A71" s="6" t="s">
        <v>63</v>
      </c>
      <c r="B71" s="7"/>
      <c r="C71" s="7"/>
      <c r="D71" s="50">
        <f>D70</f>
        <v>8000</v>
      </c>
      <c r="E71" s="50">
        <f>D71+E70</f>
        <v>16000</v>
      </c>
      <c r="F71" s="50">
        <f>E71+F70</f>
        <v>24000</v>
      </c>
      <c r="G71" s="50">
        <f>F71+G70</f>
        <v>32000</v>
      </c>
      <c r="H71" s="8"/>
    </row>
    <row r="72" spans="1:8" ht="12.75">
      <c r="A72" s="6" t="s">
        <v>64</v>
      </c>
      <c r="B72" s="7"/>
      <c r="C72" s="7"/>
      <c r="D72" s="50">
        <f>C34*(1+$D$35)</f>
        <v>7.055999999999999</v>
      </c>
      <c r="E72" s="50">
        <f>D72*(1+$E$35)</f>
        <v>8.819999999999999</v>
      </c>
      <c r="F72" s="50">
        <f>E72*(1+F35)</f>
        <v>10.848599999999998</v>
      </c>
      <c r="G72" s="50">
        <f>F72*(1+G35)</f>
        <v>13.126805999999997</v>
      </c>
      <c r="H72" s="8"/>
    </row>
    <row r="73" spans="1:8" ht="12.75">
      <c r="A73" s="6" t="s">
        <v>65</v>
      </c>
      <c r="B73" s="7"/>
      <c r="C73" s="7"/>
      <c r="D73" s="50">
        <f>6.15*EXP(-0.0001016*D69)*(1+$D$32)</f>
        <v>3.4398705850280957</v>
      </c>
      <c r="E73" s="50">
        <f>6.15*EXP(-0.0001016*E69)*(1+$E$32)*(1+D32)</f>
        <v>4.3103489993408655</v>
      </c>
      <c r="F73" s="50">
        <f>6.15*EXP(-0.0001016*F69)*(1+F32)*(1+E32)*(1+D32)</f>
        <v>5.089310217758654</v>
      </c>
      <c r="G73" s="50">
        <f>6.15*EXP(-0.0001016*G69)*(1+G32)*(1+F32)*(1+E32)*(1+D32)</f>
        <v>6.02906330445756</v>
      </c>
      <c r="H73" s="8"/>
    </row>
    <row r="74" spans="1:8" ht="12.75">
      <c r="A74" s="6" t="s">
        <v>66</v>
      </c>
      <c r="B74" s="7"/>
      <c r="C74" s="7"/>
      <c r="D74" s="51">
        <f>1-D73/D72</f>
        <v>0.5124899964529341</v>
      </c>
      <c r="E74" s="51">
        <f>1-E73/E72</f>
        <v>0.5112982993944597</v>
      </c>
      <c r="F74" s="51">
        <f>1-F73/F72</f>
        <v>0.5308786186458478</v>
      </c>
      <c r="G74" s="51">
        <f>1-G73/G72</f>
        <v>0.5407059947059809</v>
      </c>
      <c r="H74" s="8"/>
    </row>
    <row r="75" spans="1:8" ht="12.75">
      <c r="A75" s="41" t="s">
        <v>67</v>
      </c>
      <c r="B75" s="7"/>
      <c r="C75" s="7"/>
      <c r="D75" s="50"/>
      <c r="E75" s="50"/>
      <c r="F75" s="50"/>
      <c r="G75" s="50"/>
      <c r="H75" s="8"/>
    </row>
    <row r="76" spans="1:8" ht="12.75">
      <c r="A76" s="6" t="s">
        <v>38</v>
      </c>
      <c r="B76" s="7"/>
      <c r="C76" s="7"/>
      <c r="D76" s="50">
        <f>C42*(1+D44)*12</f>
        <v>2400</v>
      </c>
      <c r="E76" s="50">
        <f>D76*(1+E44)</f>
        <v>2952</v>
      </c>
      <c r="F76" s="50">
        <f>E76*(1+F44)</f>
        <v>3571.92</v>
      </c>
      <c r="G76" s="50">
        <f>F76*(1+G44)</f>
        <v>4322.0232</v>
      </c>
      <c r="H76" s="8"/>
    </row>
    <row r="77" spans="1:8" ht="12.75">
      <c r="A77" s="6" t="s">
        <v>68</v>
      </c>
      <c r="B77" s="7"/>
      <c r="C77" s="7"/>
      <c r="D77" s="50">
        <f>D76/12</f>
        <v>200</v>
      </c>
      <c r="E77" s="50">
        <f>E76/12</f>
        <v>246</v>
      </c>
      <c r="F77" s="50">
        <f>F76/12</f>
        <v>297.66</v>
      </c>
      <c r="G77" s="50">
        <f>G76/12</f>
        <v>360.16859999999997</v>
      </c>
      <c r="H77" s="8"/>
    </row>
    <row r="78" spans="1:8" ht="12.75">
      <c r="A78" s="6" t="s">
        <v>69</v>
      </c>
      <c r="B78" s="7"/>
      <c r="C78" s="7"/>
      <c r="D78" s="50">
        <f>$C$43*12*(1+D44)</f>
        <v>600</v>
      </c>
      <c r="E78" s="50">
        <f>D78*(1+E44)</f>
        <v>738</v>
      </c>
      <c r="F78" s="50">
        <f>E78*(1+F44)</f>
        <v>892.98</v>
      </c>
      <c r="G78" s="50">
        <f>F78*(1+G44)</f>
        <v>1080.5058</v>
      </c>
      <c r="H78" s="8"/>
    </row>
    <row r="79" spans="1:8" ht="12.75">
      <c r="A79" s="6" t="s">
        <v>70</v>
      </c>
      <c r="B79" s="7"/>
      <c r="C79" s="7"/>
      <c r="D79" s="50">
        <f>D72*D65*D45</f>
        <v>1515.5423865245768</v>
      </c>
      <c r="E79" s="50">
        <f>E72*E65*E45</f>
        <v>2014.9745942243703</v>
      </c>
      <c r="F79" s="50">
        <f>F72*F65*F45</f>
        <v>2586.596608672686</v>
      </c>
      <c r="G79" s="50">
        <f>G72*G65*G45</f>
        <v>3245.0455041780297</v>
      </c>
      <c r="H79" s="8"/>
    </row>
    <row r="80" spans="1:8" ht="12.75">
      <c r="A80" s="6" t="s">
        <v>71</v>
      </c>
      <c r="B80" s="7"/>
      <c r="C80" s="7"/>
      <c r="D80" s="50">
        <f>(D79+D78)/12</f>
        <v>176.29519887704805</v>
      </c>
      <c r="E80" s="50">
        <f>(E79+E78)/12</f>
        <v>229.41454951869753</v>
      </c>
      <c r="F80" s="50">
        <f>(F79+F78)/12</f>
        <v>289.9647173893905</v>
      </c>
      <c r="G80" s="50">
        <f>(G79+G78)/12</f>
        <v>360.46260868150245</v>
      </c>
      <c r="H80" s="8"/>
    </row>
    <row r="81" spans="1:8" ht="12.75">
      <c r="A81" s="52" t="s">
        <v>180</v>
      </c>
      <c r="B81" s="53"/>
      <c r="C81" s="53"/>
      <c r="D81" s="50">
        <f>(C46-1/12)*(D79+D78+D76)</f>
        <v>2194.5670205343013</v>
      </c>
      <c r="E81" s="50">
        <f>(C46-1/12)*(E79+E78+E76)</f>
        <v>2772.634608598357</v>
      </c>
      <c r="F81" s="50">
        <f>($C$46-1/12)*(F79+F78+F76)</f>
        <v>3427.048309630195</v>
      </c>
      <c r="G81" s="50">
        <f>($C$46-1/12)*(G79+G78+G76)</f>
        <v>4202.7469105629825</v>
      </c>
      <c r="H81" s="8"/>
    </row>
    <row r="82" spans="1:8" ht="12.75">
      <c r="A82" s="6" t="s">
        <v>254</v>
      </c>
      <c r="B82" s="6"/>
      <c r="C82" s="7"/>
      <c r="D82" s="50">
        <f>C37*12*(1+D38)</f>
        <v>555</v>
      </c>
      <c r="E82" s="50">
        <f>D82*(1+E38)</f>
        <v>682.65</v>
      </c>
      <c r="F82" s="50">
        <f>E82*(1+F38)</f>
        <v>826.0065</v>
      </c>
      <c r="G82" s="50">
        <f>F82*(1+G38)</f>
        <v>999.467865</v>
      </c>
      <c r="H82" s="8"/>
    </row>
    <row r="83" spans="1:8" ht="12.75">
      <c r="A83" s="6" t="s">
        <v>72</v>
      </c>
      <c r="B83" s="6"/>
      <c r="C83" s="7"/>
      <c r="D83" s="50">
        <f>C39*12*(1+D40)</f>
        <v>2140.2</v>
      </c>
      <c r="E83" s="50">
        <f>D83*(1+E40)</f>
        <v>2653.848</v>
      </c>
      <c r="F83" s="50">
        <f>E83*(1+F40)</f>
        <v>3264.23304</v>
      </c>
      <c r="G83" s="50">
        <f>F83*(1+G40)</f>
        <v>4015.0066392</v>
      </c>
      <c r="H83" s="8"/>
    </row>
    <row r="84" spans="1:8" ht="12.75">
      <c r="A84" s="6" t="s">
        <v>73</v>
      </c>
      <c r="B84" s="7"/>
      <c r="C84" s="7"/>
      <c r="D84" s="50">
        <f>D65*D72*D49</f>
        <v>1515.5423865245768</v>
      </c>
      <c r="E84" s="50">
        <f>E65*E72*E49</f>
        <v>2014.9745942243703</v>
      </c>
      <c r="F84" s="50">
        <f>F65*F72*F49</f>
        <v>2586.596608672686</v>
      </c>
      <c r="G84" s="50">
        <f>G65*G72*G49</f>
        <v>3245.0455041780297</v>
      </c>
      <c r="H84" s="8"/>
    </row>
    <row r="85" spans="1:8" ht="12.75">
      <c r="A85" s="52" t="s">
        <v>74</v>
      </c>
      <c r="B85" s="53"/>
      <c r="C85" s="53"/>
      <c r="D85" s="33">
        <f>D20*(SUM($C$189:C189)-SUM($C$190:C190))</f>
        <v>4999.522572557812</v>
      </c>
      <c r="E85" s="33">
        <f>E20*(SUM($C$189:D189)-SUM($C$190:D190))</f>
        <v>2404.917373026594</v>
      </c>
      <c r="F85" s="33">
        <f>F20*(SUM($C$189:E189)-SUM($C$190:E190))</f>
        <v>35.31235155442792</v>
      </c>
      <c r="G85" s="33">
        <f>G20*(SUM($C$189:F189)-SUM($C$190:F190))</f>
        <v>0</v>
      </c>
      <c r="H85" s="8"/>
    </row>
    <row r="86" spans="1:8" ht="12.75">
      <c r="A86" s="53"/>
      <c r="B86" s="53"/>
      <c r="C86" s="53"/>
      <c r="D86" s="33"/>
      <c r="E86" s="33"/>
      <c r="F86" s="33"/>
      <c r="G86" s="33"/>
      <c r="H86" s="8"/>
    </row>
    <row r="87" spans="1:8" ht="13.5" thickBot="1">
      <c r="A87" s="54" t="s">
        <v>75</v>
      </c>
      <c r="B87" s="53"/>
      <c r="C87" s="53"/>
      <c r="D87" s="33"/>
      <c r="E87" s="33"/>
      <c r="F87" s="33"/>
      <c r="G87" s="33"/>
      <c r="H87" s="8"/>
    </row>
    <row r="88" spans="1:8" ht="12.75">
      <c r="A88" s="53"/>
      <c r="B88" s="53"/>
      <c r="C88" s="53"/>
      <c r="D88" s="33"/>
      <c r="E88" s="33"/>
      <c r="F88" s="33"/>
      <c r="G88" s="33"/>
      <c r="H88" s="8"/>
    </row>
    <row r="89" spans="1:8" ht="14.25" thickBot="1">
      <c r="A89" s="55" t="s">
        <v>76</v>
      </c>
      <c r="B89" s="53"/>
      <c r="C89" s="56"/>
      <c r="D89" s="33"/>
      <c r="E89" s="33"/>
      <c r="F89" s="33"/>
      <c r="G89" s="33"/>
      <c r="H89" s="8"/>
    </row>
    <row r="90" spans="1:8" ht="13.5" thickTop="1">
      <c r="A90" s="53"/>
      <c r="B90" s="33"/>
      <c r="C90" s="33"/>
      <c r="D90" s="33"/>
      <c r="E90" s="33"/>
      <c r="F90" s="33"/>
      <c r="G90" s="33"/>
      <c r="H90" s="8"/>
    </row>
    <row r="91" spans="1:8" ht="12.75">
      <c r="A91" s="52" t="s">
        <v>77</v>
      </c>
      <c r="B91" s="33"/>
      <c r="C91" s="33">
        <f>C194</f>
        <v>110</v>
      </c>
      <c r="D91" s="33">
        <f>D194</f>
        <v>110</v>
      </c>
      <c r="E91" s="33">
        <f>E194</f>
        <v>121</v>
      </c>
      <c r="F91" s="33">
        <f>F194</f>
        <v>150</v>
      </c>
      <c r="G91" s="33">
        <f>G194</f>
        <v>150</v>
      </c>
      <c r="H91" s="8"/>
    </row>
    <row r="92" spans="1:8" ht="12.75">
      <c r="A92" s="52" t="s">
        <v>78</v>
      </c>
      <c r="B92" s="33"/>
      <c r="C92" s="33"/>
      <c r="D92" s="33">
        <f>+B151-D151</f>
        <v>2525.903977540962</v>
      </c>
      <c r="E92" s="33">
        <f>+B152-E152</f>
        <v>3358.2909903739564</v>
      </c>
      <c r="F92" s="102">
        <f>+B153-F153</f>
        <v>4310.994347787811</v>
      </c>
      <c r="G92" s="33">
        <f>+B154-G154</f>
        <v>5408.409173630062</v>
      </c>
      <c r="H92" s="8"/>
    </row>
    <row r="93" spans="1:8" ht="12.75">
      <c r="A93" s="52" t="s">
        <v>79</v>
      </c>
      <c r="B93" s="33"/>
      <c r="C93" s="33"/>
      <c r="D93" s="33">
        <f>D125</f>
        <v>2052.3390950842363</v>
      </c>
      <c r="E93" s="33">
        <f>E125</f>
        <v>2735.33753020669</v>
      </c>
      <c r="F93" s="33">
        <f>F125</f>
        <v>3370.6327057402664</v>
      </c>
      <c r="G93" s="33">
        <f>G125</f>
        <v>4140.083186042437</v>
      </c>
      <c r="H93" s="8"/>
    </row>
    <row r="94" spans="1:8" ht="12.75">
      <c r="A94" s="52" t="s">
        <v>80</v>
      </c>
      <c r="B94" s="33"/>
      <c r="C94" s="33">
        <f>SUM($C191)-SUM($C157)</f>
        <v>0</v>
      </c>
      <c r="D94" s="33">
        <f>SUM($C191:D191)-SUM($C157:D157)</f>
        <v>0</v>
      </c>
      <c r="E94" s="33">
        <f>SUM($C191:E191)-SUM($C157:E157)</f>
        <v>8794.738310763474</v>
      </c>
      <c r="F94" s="33">
        <f>SUM($C191:F191)-SUM($C157:F157)</f>
        <v>33253.4338526704</v>
      </c>
      <c r="G94" s="33">
        <f>SUM($C191:G191)-SUM($C157:G157)</f>
        <v>65919.93932323747</v>
      </c>
      <c r="H94" s="8"/>
    </row>
    <row r="95" spans="1:8" ht="12.75">
      <c r="A95" s="52" t="s">
        <v>81</v>
      </c>
      <c r="B95" s="33"/>
      <c r="C95" s="33">
        <f>+C140-C158</f>
        <v>0</v>
      </c>
      <c r="D95" s="33">
        <f>+D140-D158</f>
        <v>0</v>
      </c>
      <c r="E95" s="33">
        <f>+E140-E158</f>
        <v>0</v>
      </c>
      <c r="F95" s="33">
        <f>+F140-F158</f>
        <v>2.9105740395607427E-07</v>
      </c>
      <c r="G95" s="33">
        <f>+G140-G158</f>
        <v>4.941084625897929E-07</v>
      </c>
      <c r="H95" s="8"/>
    </row>
    <row r="96" spans="1:8" ht="12.75">
      <c r="A96" s="52" t="s">
        <v>82</v>
      </c>
      <c r="B96" s="33"/>
      <c r="C96" s="33">
        <f>($C$51+$C$53)</f>
        <v>40000</v>
      </c>
      <c r="D96" s="2">
        <f>+C96+D51+D53</f>
        <v>40000</v>
      </c>
      <c r="E96" s="2">
        <f>+D96+E51+E53</f>
        <v>40000</v>
      </c>
      <c r="F96" s="2">
        <f>+E96+F51+F53</f>
        <v>40000</v>
      </c>
      <c r="G96" s="2">
        <f>+F96+G51+G53</f>
        <v>40000</v>
      </c>
      <c r="H96" s="8"/>
    </row>
    <row r="97" spans="1:8" ht="12.75">
      <c r="A97" s="52" t="s">
        <v>63</v>
      </c>
      <c r="B97" s="33"/>
      <c r="C97" s="33"/>
      <c r="D97" s="33">
        <f>D71</f>
        <v>8000</v>
      </c>
      <c r="E97" s="33">
        <f>E71</f>
        <v>16000</v>
      </c>
      <c r="F97" s="33">
        <f>F71</f>
        <v>24000</v>
      </c>
      <c r="G97" s="33">
        <f>G71</f>
        <v>32000</v>
      </c>
      <c r="H97" s="8"/>
    </row>
    <row r="98" spans="1:8" ht="12.75">
      <c r="A98" s="52" t="s">
        <v>83</v>
      </c>
      <c r="B98" s="33"/>
      <c r="C98" s="33">
        <f>C96-C97</f>
        <v>40000</v>
      </c>
      <c r="D98" s="33">
        <f>D96-D97</f>
        <v>32000</v>
      </c>
      <c r="E98" s="33">
        <f>E96-E97</f>
        <v>24000</v>
      </c>
      <c r="F98" s="33">
        <f>F96-F97</f>
        <v>16000</v>
      </c>
      <c r="G98" s="33">
        <f>G96-G97</f>
        <v>8000</v>
      </c>
      <c r="H98" s="8"/>
    </row>
    <row r="99" spans="1:8" ht="12.75">
      <c r="A99" s="53"/>
      <c r="B99" s="33"/>
      <c r="C99" s="33"/>
      <c r="D99" s="33"/>
      <c r="E99" s="33"/>
      <c r="F99" s="33"/>
      <c r="G99" s="33"/>
      <c r="H99" s="8"/>
    </row>
    <row r="100" spans="1:8" ht="12.75">
      <c r="A100" s="34" t="s">
        <v>0</v>
      </c>
      <c r="B100" s="33"/>
      <c r="C100" s="34">
        <f>C98+C93+C92+C91+C94+C95</f>
        <v>40110</v>
      </c>
      <c r="D100" s="34">
        <f>D98+D93+D92+D91+D94+D95</f>
        <v>36688.2430726252</v>
      </c>
      <c r="E100" s="34">
        <f>E98+E93+E92+E91+E94+E95</f>
        <v>39009.366831344116</v>
      </c>
      <c r="F100" s="34">
        <f>F98+F93+F92+F91+F94+F95</f>
        <v>57085.06090648954</v>
      </c>
      <c r="G100" s="34">
        <f>G98+G93+G92+G91+G94+G95</f>
        <v>83618.43168340408</v>
      </c>
      <c r="H100" s="8"/>
    </row>
    <row r="101" spans="1:8" ht="12.75">
      <c r="A101" s="53"/>
      <c r="B101" s="33"/>
      <c r="C101" s="33"/>
      <c r="D101" s="33"/>
      <c r="E101" s="33"/>
      <c r="F101" s="33"/>
      <c r="G101" s="33"/>
      <c r="H101" s="8"/>
    </row>
    <row r="102" spans="1:8" ht="14.25" thickBot="1">
      <c r="A102" s="55" t="s">
        <v>84</v>
      </c>
      <c r="B102" s="33"/>
      <c r="C102" s="33"/>
      <c r="D102" s="33"/>
      <c r="E102" s="33"/>
      <c r="F102" s="33"/>
      <c r="G102" s="33"/>
      <c r="H102" s="8"/>
    </row>
    <row r="103" spans="1:8" ht="13.5" thickTop="1">
      <c r="A103" s="53"/>
      <c r="B103" s="33"/>
      <c r="C103" s="33"/>
      <c r="D103" s="33"/>
      <c r="E103" s="33"/>
      <c r="F103" s="33"/>
      <c r="G103" s="33"/>
      <c r="H103" s="8"/>
    </row>
    <row r="104" spans="1:8" ht="12.75">
      <c r="A104" s="52" t="s">
        <v>86</v>
      </c>
      <c r="B104" s="33"/>
      <c r="C104" s="33"/>
      <c r="D104" s="33">
        <f>+B165-D165</f>
        <v>2668.0408236095063</v>
      </c>
      <c r="E104" s="33">
        <f>+B166-E166</f>
        <v>3298.769295645663</v>
      </c>
      <c r="F104" s="33">
        <f>+B167-F167</f>
        <v>4058.8560652416927</v>
      </c>
      <c r="G104" s="33">
        <f>+B168-G168</f>
        <v>4982.805346594774</v>
      </c>
      <c r="H104" s="8"/>
    </row>
    <row r="105" spans="1:8" ht="12.75">
      <c r="A105" s="52" t="s">
        <v>87</v>
      </c>
      <c r="B105" s="33"/>
      <c r="C105" s="33"/>
      <c r="D105" s="33">
        <f>+B174-D174</f>
        <v>214.01999999999998</v>
      </c>
      <c r="E105" s="33">
        <f>+B175-E175</f>
        <v>265.3847999999998</v>
      </c>
      <c r="F105" s="33">
        <f>+B176-F176</f>
        <v>326.4233039999999</v>
      </c>
      <c r="G105" s="33">
        <f>+$B177-G177</f>
        <v>401.5006639200001</v>
      </c>
      <c r="H105" s="8"/>
    </row>
    <row r="106" spans="1:8" ht="12.75">
      <c r="A106" s="52" t="s">
        <v>88</v>
      </c>
      <c r="B106" s="33"/>
      <c r="C106" s="33"/>
      <c r="D106" s="33">
        <f>+D132</f>
        <v>376.29519887704805</v>
      </c>
      <c r="E106" s="33">
        <f>+E132</f>
        <v>475.4145495186975</v>
      </c>
      <c r="F106" s="33">
        <f>+F132</f>
        <v>587.6247173893905</v>
      </c>
      <c r="G106" s="33">
        <f>+G132</f>
        <v>720.6312086815024</v>
      </c>
      <c r="H106" s="8"/>
    </row>
    <row r="107" spans="1:8" ht="12.75">
      <c r="A107" s="52" t="s">
        <v>284</v>
      </c>
      <c r="B107" s="33"/>
      <c r="C107" s="33"/>
      <c r="D107" s="33"/>
      <c r="E107" s="33"/>
      <c r="F107" s="33"/>
      <c r="G107" s="33"/>
      <c r="H107" s="8"/>
    </row>
    <row r="108" spans="1:8" ht="12.75">
      <c r="A108" s="52" t="s">
        <v>89</v>
      </c>
      <c r="B108" s="33"/>
      <c r="C108" s="33"/>
      <c r="D108" s="33">
        <f>SUM($C144:D144)-SUM($C183:D183)</f>
        <v>597.5028167962804</v>
      </c>
      <c r="E108" s="33">
        <f>SUM($C144:E144)-SUM($C183:E183)</f>
        <v>3806.891837469036</v>
      </c>
      <c r="F108" s="33">
        <f>SUM($C144:F144)-SUM($C183:F183)</f>
        <v>8615.136146205856</v>
      </c>
      <c r="G108" s="33">
        <f>SUM($C144:G144)-SUM($C183:G183)</f>
        <v>14371.515698980937</v>
      </c>
      <c r="H108" s="8"/>
    </row>
    <row r="109" spans="1:8" ht="12.75">
      <c r="A109" s="52" t="s">
        <v>85</v>
      </c>
      <c r="B109" s="33"/>
      <c r="C109" s="33">
        <f>SUM($C$189)-SUM($C$190)</f>
        <v>16110</v>
      </c>
      <c r="D109" s="33">
        <f>SUM($C$189:D189)-SUM($C$190:D190)</f>
        <v>7836.546205348568</v>
      </c>
      <c r="E109" s="33">
        <f>SUM($C$189:E189)-SUM($C$190:E190)</f>
        <v>121</v>
      </c>
      <c r="F109" s="33">
        <f>SUM($C$189:F189)-SUM($C$190:F190)</f>
        <v>0</v>
      </c>
      <c r="G109" s="33">
        <f>SUM($C$189:G189)-SUM($C$190:G190)</f>
        <v>0</v>
      </c>
      <c r="H109" s="8"/>
    </row>
    <row r="110" spans="1:8" ht="12.75">
      <c r="A110" s="53" t="s">
        <v>90</v>
      </c>
      <c r="B110" s="33"/>
      <c r="C110" s="33">
        <f>SUM(C104:C109)</f>
        <v>16110</v>
      </c>
      <c r="D110" s="33">
        <f>SUM(D104:D109)</f>
        <v>11692.405044631403</v>
      </c>
      <c r="E110" s="33">
        <f>SUM(E104:E109)</f>
        <v>7967.460482633396</v>
      </c>
      <c r="F110" s="33">
        <f>SUM(F104:F109)</f>
        <v>13588.040232836938</v>
      </c>
      <c r="G110" s="33">
        <f>SUM(G104:G109)</f>
        <v>20476.452918177212</v>
      </c>
      <c r="H110" s="8"/>
    </row>
    <row r="111" spans="1:8" ht="12.75">
      <c r="A111" s="52" t="s">
        <v>91</v>
      </c>
      <c r="B111" s="33"/>
      <c r="C111" s="33">
        <f>(C50+C53)</f>
        <v>24000</v>
      </c>
      <c r="D111" s="33">
        <f>+C111+D50+D53</f>
        <v>24000</v>
      </c>
      <c r="E111" s="33">
        <f>+D111+E50+E53</f>
        <v>24000</v>
      </c>
      <c r="F111" s="33">
        <f>+E111+F50+F53</f>
        <v>24000</v>
      </c>
      <c r="G111" s="33">
        <f>+F111+G50+G53</f>
        <v>24000</v>
      </c>
      <c r="H111" s="8"/>
    </row>
    <row r="112" spans="1:12" ht="12.75">
      <c r="A112" s="52" t="s">
        <v>92</v>
      </c>
      <c r="B112" s="33"/>
      <c r="C112" s="33"/>
      <c r="D112" s="33"/>
      <c r="E112" s="33">
        <f>IF(D145&lt;0,D112+D145,D145*(1-D61)+D112)</f>
        <v>697.0866195956604</v>
      </c>
      <c r="F112" s="33">
        <f>IF(E145&lt;0,E112+E145,E145*(1-E61)+E112)</f>
        <v>5138.460429976203</v>
      </c>
      <c r="G112" s="33">
        <f>IF(F145&lt;0,F112+F145,F145*(1-F61)+F112)</f>
        <v>15189.4526005497</v>
      </c>
      <c r="H112" s="8"/>
      <c r="I112" s="143"/>
      <c r="J112" s="143"/>
      <c r="K112" s="143"/>
      <c r="L112" s="143"/>
    </row>
    <row r="113" spans="1:12" ht="12.75">
      <c r="A113" s="8" t="s">
        <v>185</v>
      </c>
      <c r="B113" s="33"/>
      <c r="C113" s="33"/>
      <c r="D113" s="33">
        <f>D145</f>
        <v>995.8380279938007</v>
      </c>
      <c r="E113" s="33">
        <f>E145</f>
        <v>6344.819729115061</v>
      </c>
      <c r="F113" s="33">
        <f>F145</f>
        <v>14358.560243676424</v>
      </c>
      <c r="G113" s="33">
        <f>G145</f>
        <v>23952.526164968225</v>
      </c>
      <c r="H113" s="8"/>
      <c r="I113" s="143"/>
      <c r="J113" s="143"/>
      <c r="K113" s="143"/>
      <c r="L113" s="143"/>
    </row>
    <row r="114" spans="1:8" ht="12.75">
      <c r="A114" s="53"/>
      <c r="B114" s="33"/>
      <c r="C114" s="33"/>
      <c r="D114" s="33"/>
      <c r="E114" s="33"/>
      <c r="F114" s="33"/>
      <c r="G114" s="33"/>
      <c r="H114" s="8"/>
    </row>
    <row r="115" spans="1:8" ht="12.75">
      <c r="A115" s="34" t="s">
        <v>0</v>
      </c>
      <c r="B115" s="33"/>
      <c r="C115" s="34">
        <f>SUM(C104:C113)-C110</f>
        <v>40110</v>
      </c>
      <c r="D115" s="34">
        <f>SUM(D104:D113)-D110</f>
        <v>36688.243072625206</v>
      </c>
      <c r="E115" s="34">
        <f>SUM(E104:E113)-E110</f>
        <v>39009.366831344116</v>
      </c>
      <c r="F115" s="34">
        <f>SUM(F104:F113)-F110</f>
        <v>57085.060906489554</v>
      </c>
      <c r="G115" s="34">
        <f>SUM(G104:G113)-G110</f>
        <v>83618.43168369513</v>
      </c>
      <c r="H115" s="8"/>
    </row>
    <row r="116" spans="1:8" ht="12.75">
      <c r="A116" s="53" t="s">
        <v>93</v>
      </c>
      <c r="B116" s="33"/>
      <c r="C116" s="33" t="str">
        <f>IF(+ROUND(C115-C100,1)=0,"Correcto","Error")</f>
        <v>Correcto</v>
      </c>
      <c r="D116" s="33" t="str">
        <f>IF(+ROUND(D115-D100,1)=0,"Correcto","Error")</f>
        <v>Correcto</v>
      </c>
      <c r="E116" s="33" t="str">
        <f>IF(+ROUND(E115-E100,1)=0,"Correcto","Error")</f>
        <v>Correcto</v>
      </c>
      <c r="F116" s="33" t="str">
        <f>IF(+ROUND(F115-F100,1)=0,"Correcto","Error")</f>
        <v>Correcto</v>
      </c>
      <c r="G116" s="33" t="str">
        <f>IF(+ROUND(G115-G100,1)=0,"Correcto","Error")</f>
        <v>Correcto</v>
      </c>
      <c r="H116" s="8"/>
    </row>
    <row r="117" spans="1:8" ht="13.5" thickBot="1">
      <c r="A117" s="54" t="s">
        <v>94</v>
      </c>
      <c r="B117" s="33"/>
      <c r="C117" s="33"/>
      <c r="D117" s="33"/>
      <c r="E117" s="33"/>
      <c r="F117" s="33"/>
      <c r="G117" s="33"/>
      <c r="H117" s="8"/>
    </row>
    <row r="118" spans="1:8" ht="12.75">
      <c r="A118" s="53"/>
      <c r="B118" s="33"/>
      <c r="C118" s="33"/>
      <c r="D118" s="33"/>
      <c r="E118" s="33"/>
      <c r="F118" s="33"/>
      <c r="G118" s="33"/>
      <c r="H118" s="8"/>
    </row>
    <row r="119" spans="1:8" ht="12.75">
      <c r="A119" s="52" t="s">
        <v>95</v>
      </c>
      <c r="B119" s="33"/>
      <c r="C119" s="33"/>
      <c r="D119" s="33">
        <f>D65*D72</f>
        <v>50518.07955081923</v>
      </c>
      <c r="E119" s="33">
        <f>E65*E72</f>
        <v>67165.81980747901</v>
      </c>
      <c r="F119" s="33">
        <f>F65*F72</f>
        <v>86219.88695575621</v>
      </c>
      <c r="G119" s="33">
        <f>G65*G72</f>
        <v>108168.183472601</v>
      </c>
      <c r="H119" s="8"/>
    </row>
    <row r="120" spans="1:8" ht="12.75">
      <c r="A120" s="53"/>
      <c r="B120" s="33"/>
      <c r="C120" s="33"/>
      <c r="D120" s="33"/>
      <c r="E120" s="33"/>
      <c r="F120" s="33"/>
      <c r="G120" s="33"/>
      <c r="H120" s="8"/>
    </row>
    <row r="121" spans="1:8" ht="14.25" thickBot="1">
      <c r="A121" s="55" t="s">
        <v>96</v>
      </c>
      <c r="B121" s="33"/>
      <c r="C121" s="33"/>
      <c r="D121" s="34">
        <f>D123+D124-D125</f>
        <v>24628.069141010837</v>
      </c>
      <c r="E121" s="34">
        <f>E123+E124-E125</f>
        <v>32304.69452133417</v>
      </c>
      <c r="F121" s="34">
        <f>F123+F124-F125</f>
        <v>39953.26547688336</v>
      </c>
      <c r="G121" s="34">
        <f>G123+G124-G125</f>
        <v>49058.602985645564</v>
      </c>
      <c r="H121" s="8"/>
    </row>
    <row r="122" spans="1:8" ht="13.5" thickTop="1">
      <c r="A122" s="53"/>
      <c r="B122" s="33"/>
      <c r="C122" s="33"/>
      <c r="D122" s="33"/>
      <c r="E122" s="33"/>
      <c r="F122" s="33"/>
      <c r="G122" s="33"/>
      <c r="H122" s="8"/>
    </row>
    <row r="123" spans="1:8" ht="12.75">
      <c r="A123" s="52" t="s">
        <v>97</v>
      </c>
      <c r="B123" s="33"/>
      <c r="C123" s="33"/>
      <c r="D123" s="33">
        <f>D68*D73</f>
        <v>0</v>
      </c>
      <c r="E123" s="33">
        <f>D125</f>
        <v>2052.3390950842363</v>
      </c>
      <c r="F123" s="33">
        <f>E125</f>
        <v>2735.33753020669</v>
      </c>
      <c r="G123" s="33">
        <f>F125</f>
        <v>3370.6327057402664</v>
      </c>
      <c r="H123" s="8"/>
    </row>
    <row r="124" spans="1:8" ht="12.75">
      <c r="A124" s="52" t="s">
        <v>98</v>
      </c>
      <c r="B124" s="33"/>
      <c r="C124" s="33"/>
      <c r="D124" s="33">
        <f>D69*D73</f>
        <v>26680.408236095074</v>
      </c>
      <c r="E124" s="33">
        <f>E69*E73</f>
        <v>32987.69295645662</v>
      </c>
      <c r="F124" s="33">
        <f>F69*F73</f>
        <v>40588.560652416934</v>
      </c>
      <c r="G124" s="33">
        <f>G69*G73</f>
        <v>49828.053465947734</v>
      </c>
      <c r="H124" s="8"/>
    </row>
    <row r="125" spans="1:8" ht="12.75">
      <c r="A125" s="52" t="s">
        <v>99</v>
      </c>
      <c r="B125" s="33"/>
      <c r="C125" s="33"/>
      <c r="D125" s="33">
        <f>D67*D73</f>
        <v>2052.3390950842363</v>
      </c>
      <c r="E125" s="33">
        <f>IF(E124&lt;=0,E67*D73,E67*E73)</f>
        <v>2735.33753020669</v>
      </c>
      <c r="F125" s="33">
        <f>IF(F124&lt;=0,F67*E73,F67*F73)</f>
        <v>3370.6327057402664</v>
      </c>
      <c r="G125" s="33">
        <f>IF(G124&lt;=0,G67*F73,G67*G73)</f>
        <v>4140.083186042437</v>
      </c>
      <c r="H125" s="8"/>
    </row>
    <row r="126" spans="1:8" ht="12.75">
      <c r="A126" s="53"/>
      <c r="B126" s="33"/>
      <c r="C126" s="33"/>
      <c r="D126" s="33"/>
      <c r="E126" s="33"/>
      <c r="F126" s="33"/>
      <c r="G126" s="33"/>
      <c r="H126" s="8"/>
    </row>
    <row r="127" spans="1:8" ht="14.25" thickBot="1">
      <c r="A127" s="55" t="s">
        <v>100</v>
      </c>
      <c r="B127" s="33"/>
      <c r="C127" s="33"/>
      <c r="D127" s="34">
        <f>D119-D121</f>
        <v>25890.010409808394</v>
      </c>
      <c r="E127" s="34">
        <f>E119-E121</f>
        <v>34861.125286144845</v>
      </c>
      <c r="F127" s="34">
        <f>F119-F121</f>
        <v>46266.621478872854</v>
      </c>
      <c r="G127" s="34">
        <f>G119-G121</f>
        <v>59109.580486955434</v>
      </c>
      <c r="H127" s="8"/>
    </row>
    <row r="128" spans="1:8" ht="13.5" thickTop="1">
      <c r="A128" s="53"/>
      <c r="B128" s="33"/>
      <c r="C128" s="33"/>
      <c r="D128" s="33"/>
      <c r="E128" s="33"/>
      <c r="F128" s="33"/>
      <c r="G128" s="33"/>
      <c r="H128" s="8"/>
    </row>
    <row r="129" spans="1:8" ht="14.25" thickBot="1">
      <c r="A129" s="55" t="s">
        <v>101</v>
      </c>
      <c r="B129" s="33"/>
      <c r="C129" s="33"/>
      <c r="D129" s="34">
        <f>SUM(D131:D137)</f>
        <v>19297.1469924605</v>
      </c>
      <c r="E129" s="34">
        <f>SUM(E131:E137)</f>
        <v>22304.496346565797</v>
      </c>
      <c r="F129" s="34">
        <f>SUM(F131:F137)</f>
        <v>25743.00578436496</v>
      </c>
      <c r="G129" s="34">
        <f>SUM(G131:G137)</f>
        <v>29830.47263180054</v>
      </c>
      <c r="H129" s="8"/>
    </row>
    <row r="130" spans="1:8" ht="13.5" thickTop="1">
      <c r="A130" s="53"/>
      <c r="B130" s="33"/>
      <c r="C130" s="33"/>
      <c r="D130" s="33"/>
      <c r="E130" s="33"/>
      <c r="F130" s="33"/>
      <c r="G130" s="33"/>
      <c r="H130" s="8"/>
    </row>
    <row r="131" spans="1:8" ht="12.75">
      <c r="A131" s="52" t="s">
        <v>102</v>
      </c>
      <c r="B131" s="33"/>
      <c r="C131" s="33"/>
      <c r="D131" s="33">
        <f>D76+D78+D81</f>
        <v>5194.567020534301</v>
      </c>
      <c r="E131" s="33">
        <f>E76+E78+E81</f>
        <v>6462.634608598357</v>
      </c>
      <c r="F131" s="33">
        <f>F76+F78+F81</f>
        <v>7891.948309630195</v>
      </c>
      <c r="G131" s="33">
        <f>G76+G78+G81</f>
        <v>9605.275910562981</v>
      </c>
      <c r="H131" s="8"/>
    </row>
    <row r="132" spans="1:8" ht="12.75">
      <c r="A132" s="52" t="s">
        <v>103</v>
      </c>
      <c r="B132" s="33"/>
      <c r="C132" s="33"/>
      <c r="D132" s="33">
        <f>D80+D77</f>
        <v>376.29519887704805</v>
      </c>
      <c r="E132" s="33">
        <f>E80+E77</f>
        <v>475.4145495186975</v>
      </c>
      <c r="F132" s="33">
        <f>F80+F77</f>
        <v>587.6247173893905</v>
      </c>
      <c r="G132" s="33">
        <f>G80+G77</f>
        <v>720.6312086815024</v>
      </c>
      <c r="H132" s="8"/>
    </row>
    <row r="133" spans="1:8" ht="12.75">
      <c r="A133" s="52" t="s">
        <v>254</v>
      </c>
      <c r="B133" s="33"/>
      <c r="C133" s="33"/>
      <c r="D133" s="33">
        <f>D82</f>
        <v>555</v>
      </c>
      <c r="E133" s="33">
        <f>E82</f>
        <v>682.65</v>
      </c>
      <c r="F133" s="33">
        <f>F82</f>
        <v>826.0065</v>
      </c>
      <c r="G133" s="33">
        <f>G82</f>
        <v>999.467865</v>
      </c>
      <c r="H133" s="8"/>
    </row>
    <row r="134" spans="1:8" ht="12.75">
      <c r="A134" s="52" t="s">
        <v>104</v>
      </c>
      <c r="B134" s="33"/>
      <c r="C134" s="33"/>
      <c r="D134" s="33">
        <f>D79</f>
        <v>1515.5423865245768</v>
      </c>
      <c r="E134" s="33">
        <f>E79</f>
        <v>2014.9745942243703</v>
      </c>
      <c r="F134" s="33">
        <f>F79</f>
        <v>2586.596608672686</v>
      </c>
      <c r="G134" s="33">
        <f>G79</f>
        <v>3245.0455041780297</v>
      </c>
      <c r="H134" s="8"/>
    </row>
    <row r="135" spans="1:8" ht="12.75">
      <c r="A135" s="52" t="s">
        <v>72</v>
      </c>
      <c r="B135" s="33"/>
      <c r="C135" s="33"/>
      <c r="D135" s="33">
        <f>D83</f>
        <v>2140.2</v>
      </c>
      <c r="E135" s="33">
        <f>E83</f>
        <v>2653.848</v>
      </c>
      <c r="F135" s="33">
        <f>F83</f>
        <v>3264.23304</v>
      </c>
      <c r="G135" s="33">
        <f>G83</f>
        <v>4015.0066392</v>
      </c>
      <c r="H135" s="8"/>
    </row>
    <row r="136" spans="1:8" ht="12.75">
      <c r="A136" s="52" t="s">
        <v>105</v>
      </c>
      <c r="B136" s="33"/>
      <c r="C136" s="33"/>
      <c r="D136" s="33">
        <f>D70</f>
        <v>8000</v>
      </c>
      <c r="E136" s="33">
        <f>E70</f>
        <v>8000</v>
      </c>
      <c r="F136" s="33">
        <f>F70</f>
        <v>8000</v>
      </c>
      <c r="G136" s="33">
        <f>G70</f>
        <v>8000</v>
      </c>
      <c r="H136" s="8"/>
    </row>
    <row r="137" spans="1:8" ht="12.75">
      <c r="A137" s="52" t="s">
        <v>73</v>
      </c>
      <c r="B137" s="33"/>
      <c r="C137" s="33"/>
      <c r="D137" s="33">
        <f>D84</f>
        <v>1515.5423865245768</v>
      </c>
      <c r="E137" s="33">
        <f>E84</f>
        <v>2014.9745942243703</v>
      </c>
      <c r="F137" s="33">
        <f>F84</f>
        <v>2586.596608672686</v>
      </c>
      <c r="G137" s="33">
        <f>G84</f>
        <v>3245.0455041780297</v>
      </c>
      <c r="H137" s="8"/>
    </row>
    <row r="138" spans="1:8" ht="12.75">
      <c r="A138" s="53"/>
      <c r="B138" s="33"/>
      <c r="C138" s="33"/>
      <c r="D138" s="33"/>
      <c r="E138" s="91"/>
      <c r="F138" s="91"/>
      <c r="G138" s="91"/>
      <c r="H138" s="8"/>
    </row>
    <row r="139" spans="1:8" ht="14.25" thickBot="1">
      <c r="A139" s="55" t="s">
        <v>106</v>
      </c>
      <c r="B139" s="33"/>
      <c r="C139" s="33"/>
      <c r="D139" s="34">
        <f>D127-D129</f>
        <v>6592.863417347893</v>
      </c>
      <c r="E139" s="34">
        <f>E127-E129</f>
        <v>12556.628939579048</v>
      </c>
      <c r="F139" s="34">
        <f>F127-F129</f>
        <v>20523.615694507895</v>
      </c>
      <c r="G139" s="34">
        <f>G127-G129</f>
        <v>29279.107855154893</v>
      </c>
      <c r="H139" s="8"/>
    </row>
    <row r="140" spans="1:8" ht="13.5" thickTop="1">
      <c r="A140" s="52" t="s">
        <v>107</v>
      </c>
      <c r="B140" s="33"/>
      <c r="C140" s="33"/>
      <c r="D140" s="33">
        <f>+D158</f>
        <v>0</v>
      </c>
      <c r="E140" s="33">
        <f>+E158</f>
        <v>0</v>
      </c>
      <c r="F140" s="33">
        <f>+F158</f>
        <v>2485.393046638036</v>
      </c>
      <c r="G140" s="33">
        <f>+G158</f>
        <v>9044.93400830016</v>
      </c>
      <c r="H140" s="8"/>
    </row>
    <row r="141" spans="1:8" ht="12.75">
      <c r="A141" s="52" t="s">
        <v>184</v>
      </c>
      <c r="B141" s="33"/>
      <c r="C141" s="33"/>
      <c r="D141" s="33">
        <f>D20*(SUM($C$189:C189)-SUM($C$190:C190))</f>
        <v>4999.522572557812</v>
      </c>
      <c r="E141" s="33">
        <f>E20*(SUM($C$189:D189)-SUM($C$190:D190))</f>
        <v>2404.917373026594</v>
      </c>
      <c r="F141" s="33">
        <f>F20*(SUM($C$189:E189)-SUM($C$190:E190))</f>
        <v>35.31235155442792</v>
      </c>
      <c r="G141" s="33">
        <f>G20*(SUM($C$189:F189)-SUM($C$190:F190))</f>
        <v>0</v>
      </c>
      <c r="H141" s="8"/>
    </row>
    <row r="142" spans="1:8" ht="12.75">
      <c r="A142" s="53"/>
      <c r="B142" s="33"/>
      <c r="C142" s="33"/>
      <c r="D142" s="33"/>
      <c r="E142" s="33"/>
      <c r="F142" s="33"/>
      <c r="G142" s="33"/>
      <c r="H142" s="8"/>
    </row>
    <row r="143" spans="1:8" ht="14.25" thickBot="1">
      <c r="A143" s="55" t="s">
        <v>108</v>
      </c>
      <c r="B143" s="33"/>
      <c r="C143" s="33"/>
      <c r="D143" s="34">
        <f>D139+D140-D141</f>
        <v>1593.340844790081</v>
      </c>
      <c r="E143" s="34">
        <f>E139+E140-E141</f>
        <v>10151.711566552454</v>
      </c>
      <c r="F143" s="34">
        <f>F139+F140-F141</f>
        <v>22973.696389591503</v>
      </c>
      <c r="G143" s="34">
        <f>G139+G140-G141</f>
        <v>38324.04186345505</v>
      </c>
      <c r="H143" s="8"/>
    </row>
    <row r="144" spans="1:8" ht="13.5" thickTop="1">
      <c r="A144" s="52" t="s">
        <v>109</v>
      </c>
      <c r="B144" s="33"/>
      <c r="C144" s="33"/>
      <c r="D144" s="33">
        <f>IF(D143&lt;0,0,+D143*D7)</f>
        <v>597.5028167962804</v>
      </c>
      <c r="E144" s="33">
        <f>IF(IF(D145&gt;0,E139+E140-E141,E139+E140-E141+D145)&lt;=0,0,IF(D145&gt;0,E139+E140-E141,E139+E140-E141+D145)*E7)</f>
        <v>3806.8918374571704</v>
      </c>
      <c r="F144" s="33">
        <f>IF(IF(E145&gt;0,F139+F140-F141,F139+F140-F141+E145)&lt;=0,0,IF(E145&gt;0,F139+F140-F141,F139+F140-F141+E145)*F7)</f>
        <v>8615.136146096815</v>
      </c>
      <c r="G144" s="33">
        <f>IF(IF(F145&gt;0,G139+G140-G141,G139+G140-G141+F145)&lt;=0,0,IF(F145&gt;0,G139+G140-G141,G139+G140-G141+F145)*G7)</f>
        <v>14371.515698795643</v>
      </c>
      <c r="H144" s="8"/>
    </row>
    <row r="145" spans="1:8" ht="14.25" thickBot="1">
      <c r="A145" s="55" t="s">
        <v>110</v>
      </c>
      <c r="B145" s="33"/>
      <c r="C145" s="33"/>
      <c r="D145" s="34">
        <f>D143-D144</f>
        <v>995.8380279938007</v>
      </c>
      <c r="E145" s="34">
        <f>E143-E144</f>
        <v>6344.819729095284</v>
      </c>
      <c r="F145" s="34">
        <f>F143-F144</f>
        <v>14358.560243494689</v>
      </c>
      <c r="G145" s="34">
        <f>G143-G144</f>
        <v>23952.526164659408</v>
      </c>
      <c r="H145" s="8"/>
    </row>
    <row r="146" spans="1:8" ht="13.5" thickTop="1">
      <c r="A146" s="53"/>
      <c r="B146" s="33"/>
      <c r="C146" s="33"/>
      <c r="D146" s="33"/>
      <c r="E146" s="33"/>
      <c r="F146" s="33"/>
      <c r="G146" s="33"/>
      <c r="H146" s="8"/>
    </row>
    <row r="147" spans="1:8" ht="13.5" thickBot="1">
      <c r="A147" s="54" t="s">
        <v>277</v>
      </c>
      <c r="B147" s="33"/>
      <c r="C147" s="53"/>
      <c r="D147" s="53"/>
      <c r="E147" s="53"/>
      <c r="F147" s="53"/>
      <c r="G147" s="53"/>
      <c r="H147" s="8"/>
    </row>
    <row r="148" spans="1:8" ht="12.75">
      <c r="A148" s="53"/>
      <c r="B148" s="33"/>
      <c r="C148" s="33"/>
      <c r="D148" s="33"/>
      <c r="E148" s="33"/>
      <c r="F148" s="33"/>
      <c r="G148" s="33"/>
      <c r="H148" s="8"/>
    </row>
    <row r="149" spans="1:8" ht="14.25" thickBot="1">
      <c r="A149" s="55" t="s">
        <v>111</v>
      </c>
      <c r="B149" s="33"/>
      <c r="C149" s="33"/>
      <c r="D149" s="33">
        <f>C194</f>
        <v>110</v>
      </c>
      <c r="E149" s="33">
        <f>D194</f>
        <v>110</v>
      </c>
      <c r="F149" s="33">
        <f>E194</f>
        <v>121</v>
      </c>
      <c r="G149" s="33">
        <f>F194</f>
        <v>150</v>
      </c>
      <c r="H149" s="8"/>
    </row>
    <row r="150" spans="1:8" ht="15" thickBot="1" thickTop="1">
      <c r="A150" s="55" t="s">
        <v>112</v>
      </c>
      <c r="B150" s="33"/>
      <c r="C150" s="33"/>
      <c r="D150" s="33"/>
      <c r="E150" s="33"/>
      <c r="F150" s="33"/>
      <c r="G150" s="33"/>
      <c r="H150" s="8"/>
    </row>
    <row r="151" spans="1:8" ht="13.5" thickTop="1">
      <c r="A151" s="52" t="s">
        <v>113</v>
      </c>
      <c r="B151" s="33">
        <f>D119</f>
        <v>50518.07955081923</v>
      </c>
      <c r="C151" s="33"/>
      <c r="D151" s="33">
        <f>B151*D56</f>
        <v>47992.17557327827</v>
      </c>
      <c r="E151" s="33">
        <f>B151*(1-D56)</f>
        <v>2525.9039775409638</v>
      </c>
      <c r="F151" s="33"/>
      <c r="G151" s="33"/>
      <c r="H151" s="8"/>
    </row>
    <row r="152" spans="1:8" ht="12.75">
      <c r="A152" s="52" t="s">
        <v>114</v>
      </c>
      <c r="B152" s="33">
        <f>E119</f>
        <v>67165.81980747901</v>
      </c>
      <c r="C152" s="33"/>
      <c r="D152" s="33"/>
      <c r="E152" s="33">
        <f>B152*E56</f>
        <v>63807.528817105056</v>
      </c>
      <c r="F152" s="33">
        <f>B152-E152</f>
        <v>3358.2909903739564</v>
      </c>
      <c r="G152" s="33"/>
      <c r="H152" s="8"/>
    </row>
    <row r="153" spans="1:9" ht="12.75">
      <c r="A153" s="52" t="s">
        <v>115</v>
      </c>
      <c r="B153" s="33">
        <f>F119</f>
        <v>86219.88695575621</v>
      </c>
      <c r="C153" s="33"/>
      <c r="D153" s="33"/>
      <c r="E153" s="33"/>
      <c r="F153" s="33">
        <f>B153*F56</f>
        <v>81908.8926079684</v>
      </c>
      <c r="G153" s="33">
        <f>+B153-F153</f>
        <v>4310.994347787811</v>
      </c>
      <c r="H153" s="8"/>
      <c r="I153" s="8"/>
    </row>
    <row r="154" spans="1:9" ht="12.75">
      <c r="A154" s="52" t="s">
        <v>209</v>
      </c>
      <c r="B154" s="33">
        <f>+G119</f>
        <v>108168.183472601</v>
      </c>
      <c r="C154" s="33"/>
      <c r="D154" s="33"/>
      <c r="E154" s="33"/>
      <c r="F154" s="33"/>
      <c r="G154" s="33">
        <f>B154*G56</f>
        <v>102759.77429897094</v>
      </c>
      <c r="H154" s="8"/>
      <c r="I154" s="33"/>
    </row>
    <row r="155" spans="1:11" ht="12.75">
      <c r="A155" s="52" t="s">
        <v>228</v>
      </c>
      <c r="B155" s="33"/>
      <c r="C155" s="33"/>
      <c r="D155" s="33">
        <f>SUM(D151:D154)</f>
        <v>47992.17557327827</v>
      </c>
      <c r="E155" s="33">
        <f>SUM(E151:E154)</f>
        <v>66333.43279464603</v>
      </c>
      <c r="F155" s="33">
        <f>SUM(F151:F154)</f>
        <v>85267.18359834235</v>
      </c>
      <c r="G155" s="33">
        <f>SUM(G151:G154)</f>
        <v>107070.76864675875</v>
      </c>
      <c r="H155" s="8"/>
      <c r="K155" s="33"/>
    </row>
    <row r="156" spans="1:11" ht="12.75">
      <c r="A156" s="53"/>
      <c r="B156" s="33"/>
      <c r="C156" s="33"/>
      <c r="D156" s="33"/>
      <c r="E156" s="33"/>
      <c r="F156" s="33"/>
      <c r="G156" s="33"/>
      <c r="H156" s="8"/>
      <c r="K156" s="33"/>
    </row>
    <row r="157" spans="1:11" ht="12.75">
      <c r="A157" s="52" t="s">
        <v>116</v>
      </c>
      <c r="B157" s="33"/>
      <c r="C157" s="33"/>
      <c r="D157" s="33">
        <f>C191</f>
        <v>0</v>
      </c>
      <c r="E157" s="33">
        <f>D191</f>
        <v>0</v>
      </c>
      <c r="F157" s="33">
        <f>E191</f>
        <v>8794.738310763474</v>
      </c>
      <c r="G157" s="33">
        <f>F191</f>
        <v>33253.433852728005</v>
      </c>
      <c r="H157" s="8"/>
      <c r="K157" s="33"/>
    </row>
    <row r="158" spans="1:11" ht="12.75">
      <c r="A158" s="52" t="s">
        <v>117</v>
      </c>
      <c r="B158" s="33"/>
      <c r="C158" s="33"/>
      <c r="D158" s="33">
        <f>D25*D157</f>
        <v>0</v>
      </c>
      <c r="E158" s="33">
        <f>E25*E157</f>
        <v>0</v>
      </c>
      <c r="F158" s="33">
        <f>F25*F157</f>
        <v>2485.3930466217575</v>
      </c>
      <c r="G158" s="33">
        <f>G25*G157</f>
        <v>9044.934007942018</v>
      </c>
      <c r="H158" s="8"/>
      <c r="K158" s="33"/>
    </row>
    <row r="159" spans="1:11" ht="12.75">
      <c r="A159" s="52" t="s">
        <v>118</v>
      </c>
      <c r="B159" s="33"/>
      <c r="C159" s="33">
        <f>C50</f>
        <v>24000</v>
      </c>
      <c r="D159" s="33">
        <f>D50</f>
        <v>0</v>
      </c>
      <c r="E159" s="33">
        <f>E50</f>
        <v>0</v>
      </c>
      <c r="F159" s="33">
        <f>F50</f>
        <v>0</v>
      </c>
      <c r="G159" s="33">
        <f>G50</f>
        <v>0</v>
      </c>
      <c r="H159" s="8"/>
      <c r="K159" s="33"/>
    </row>
    <row r="160" spans="1:11" ht="14.25" thickBot="1">
      <c r="A160" s="55" t="s">
        <v>121</v>
      </c>
      <c r="B160" s="33"/>
      <c r="C160" s="33">
        <f>SUM(C151:C159)</f>
        <v>24000</v>
      </c>
      <c r="D160" s="33">
        <f>SUM(D151:D159)-D155</f>
        <v>47992.17557327827</v>
      </c>
      <c r="E160" s="33">
        <f>SUM(E151:E159)-E155</f>
        <v>66333.43279464603</v>
      </c>
      <c r="F160" s="33">
        <f>SUM(F151:F159)-F155</f>
        <v>96547.31495572758</v>
      </c>
      <c r="G160" s="33">
        <f>SUM(G151:G159)-G155</f>
        <v>149369.13650742875</v>
      </c>
      <c r="H160" s="8"/>
      <c r="K160" s="33"/>
    </row>
    <row r="161" spans="1:11" ht="13.5" thickTop="1">
      <c r="A161" s="53"/>
      <c r="B161" s="33"/>
      <c r="C161" s="33"/>
      <c r="D161" s="33"/>
      <c r="E161" s="33"/>
      <c r="F161" s="33"/>
      <c r="G161" s="33"/>
      <c r="H161" s="8"/>
      <c r="K161" s="33"/>
    </row>
    <row r="162" spans="1:11" ht="14.25" thickBot="1">
      <c r="A162" s="55" t="s">
        <v>122</v>
      </c>
      <c r="B162" s="33"/>
      <c r="C162" s="33"/>
      <c r="D162" s="33"/>
      <c r="E162" s="33"/>
      <c r="F162" s="33"/>
      <c r="G162" s="33"/>
      <c r="H162" s="8"/>
      <c r="K162" s="33"/>
    </row>
    <row r="163" spans="1:11" ht="13.5" thickTop="1">
      <c r="A163" s="53"/>
      <c r="B163" s="33"/>
      <c r="C163" s="33"/>
      <c r="D163" s="33"/>
      <c r="E163" s="33"/>
      <c r="F163" s="33"/>
      <c r="G163" s="33"/>
      <c r="H163" s="8"/>
      <c r="K163" s="33"/>
    </row>
    <row r="164" spans="1:11" ht="12.75">
      <c r="A164" s="52" t="s">
        <v>123</v>
      </c>
      <c r="B164" s="33"/>
      <c r="C164" s="33"/>
      <c r="D164" s="33"/>
      <c r="E164" s="33"/>
      <c r="F164" s="33"/>
      <c r="G164" s="33"/>
      <c r="H164" s="8"/>
      <c r="K164" s="33"/>
    </row>
    <row r="165" spans="1:11" ht="12.75">
      <c r="A165" s="52" t="s">
        <v>124</v>
      </c>
      <c r="B165" s="33">
        <f>D124</f>
        <v>26680.408236095074</v>
      </c>
      <c r="C165" s="33"/>
      <c r="D165" s="33">
        <f>B165*D58</f>
        <v>24012.367412485568</v>
      </c>
      <c r="E165" s="33">
        <f>B165-D165</f>
        <v>2668.0408236095063</v>
      </c>
      <c r="F165" s="33"/>
      <c r="G165" s="33"/>
      <c r="H165" s="8"/>
      <c r="K165" s="33"/>
    </row>
    <row r="166" spans="1:11" ht="12.75">
      <c r="A166" s="52" t="s">
        <v>125</v>
      </c>
      <c r="B166" s="33">
        <f>E124</f>
        <v>32987.69295645662</v>
      </c>
      <c r="C166" s="33"/>
      <c r="D166" s="33"/>
      <c r="E166" s="33">
        <f>B166*E58</f>
        <v>29688.92366081096</v>
      </c>
      <c r="F166" s="33">
        <f>B166-E166</f>
        <v>3298.769295645663</v>
      </c>
      <c r="G166" s="33"/>
      <c r="H166" s="8"/>
      <c r="K166" s="33"/>
    </row>
    <row r="167" spans="1:11" ht="12.75">
      <c r="A167" s="52" t="s">
        <v>126</v>
      </c>
      <c r="B167" s="33">
        <f>F124</f>
        <v>40588.560652416934</v>
      </c>
      <c r="C167" s="33"/>
      <c r="D167" s="33"/>
      <c r="E167" s="33"/>
      <c r="F167" s="33">
        <f>B167*F58</f>
        <v>36529.70458717524</v>
      </c>
      <c r="G167" s="33">
        <f>+B167-F167</f>
        <v>4058.8560652416927</v>
      </c>
      <c r="H167" s="8"/>
      <c r="K167" s="33"/>
    </row>
    <row r="168" spans="1:10" ht="12.75">
      <c r="A168" s="52" t="s">
        <v>210</v>
      </c>
      <c r="B168" s="33">
        <f>+G124</f>
        <v>49828.053465947734</v>
      </c>
      <c r="C168" s="33"/>
      <c r="D168" s="33"/>
      <c r="E168" s="33"/>
      <c r="F168" s="33"/>
      <c r="G168" s="33">
        <f>B168*G58</f>
        <v>44845.24811935296</v>
      </c>
      <c r="H168" s="8"/>
      <c r="I168" s="8"/>
      <c r="J168" s="33"/>
    </row>
    <row r="169" spans="1:10" ht="12.75">
      <c r="A169" s="53" t="s">
        <v>229</v>
      </c>
      <c r="B169" s="33"/>
      <c r="C169" s="33"/>
      <c r="D169" s="33">
        <f>SUM(D165:D168)</f>
        <v>24012.367412485568</v>
      </c>
      <c r="E169" s="33">
        <f>SUM(E165:E168)</f>
        <v>32356.964484420467</v>
      </c>
      <c r="F169" s="33">
        <f>SUM(F165:F168)</f>
        <v>39828.47388282091</v>
      </c>
      <c r="G169" s="33">
        <f>SUM(G165:G168)</f>
        <v>48904.10418459465</v>
      </c>
      <c r="H169" s="8"/>
      <c r="J169" s="33"/>
    </row>
    <row r="170" spans="1:10" ht="12.75">
      <c r="A170" s="52" t="s">
        <v>127</v>
      </c>
      <c r="B170" s="33"/>
      <c r="C170" s="33"/>
      <c r="D170" s="33">
        <f>D131</f>
        <v>5194.567020534301</v>
      </c>
      <c r="E170" s="33">
        <f>E131</f>
        <v>6462.634608598357</v>
      </c>
      <c r="F170" s="33">
        <f>F131</f>
        <v>7891.948309630195</v>
      </c>
      <c r="G170" s="33">
        <f>G131</f>
        <v>9605.275910562981</v>
      </c>
      <c r="H170" s="8"/>
      <c r="J170" s="33"/>
    </row>
    <row r="171" spans="1:10" ht="12.75">
      <c r="A171" s="52" t="s">
        <v>103</v>
      </c>
      <c r="B171" s="33"/>
      <c r="C171" s="33"/>
      <c r="D171" s="33"/>
      <c r="E171" s="33">
        <f>+D132</f>
        <v>376.29519887704805</v>
      </c>
      <c r="F171" s="33">
        <f>+E132</f>
        <v>475.4145495186975</v>
      </c>
      <c r="G171" s="33">
        <f>+F132</f>
        <v>587.6247173893905</v>
      </c>
      <c r="H171" s="8"/>
      <c r="I171" s="8"/>
      <c r="J171" s="33"/>
    </row>
    <row r="172" spans="1:11" ht="12.75">
      <c r="A172" s="52" t="s">
        <v>254</v>
      </c>
      <c r="B172" s="33"/>
      <c r="C172" s="33"/>
      <c r="D172" s="33">
        <f aca="true" t="shared" si="0" ref="D172:G173">D133</f>
        <v>555</v>
      </c>
      <c r="E172" s="33">
        <f t="shared" si="0"/>
        <v>682.65</v>
      </c>
      <c r="F172" s="33">
        <f t="shared" si="0"/>
        <v>826.0065</v>
      </c>
      <c r="G172" s="33">
        <f t="shared" si="0"/>
        <v>999.467865</v>
      </c>
      <c r="H172" s="8"/>
      <c r="K172" s="33"/>
    </row>
    <row r="173" spans="1:11" ht="12.75">
      <c r="A173" s="52" t="s">
        <v>104</v>
      </c>
      <c r="B173" s="33"/>
      <c r="C173" s="33"/>
      <c r="D173" s="33">
        <f t="shared" si="0"/>
        <v>1515.5423865245768</v>
      </c>
      <c r="E173" s="33">
        <f t="shared" si="0"/>
        <v>2014.9745942243703</v>
      </c>
      <c r="F173" s="33">
        <f t="shared" si="0"/>
        <v>2586.596608672686</v>
      </c>
      <c r="G173" s="33">
        <f t="shared" si="0"/>
        <v>3245.0455041780297</v>
      </c>
      <c r="H173" s="8"/>
      <c r="K173" s="33"/>
    </row>
    <row r="174" spans="1:11" ht="12.75">
      <c r="A174" s="52" t="s">
        <v>128</v>
      </c>
      <c r="B174" s="33">
        <f>D83</f>
        <v>2140.2</v>
      </c>
      <c r="C174" s="33"/>
      <c r="D174" s="33">
        <f>B174*D58</f>
        <v>1926.1799999999998</v>
      </c>
      <c r="E174" s="33">
        <f>B174*(1-D58)</f>
        <v>214.01999999999992</v>
      </c>
      <c r="F174" s="33"/>
      <c r="G174" s="33"/>
      <c r="H174" s="8"/>
      <c r="K174" s="33"/>
    </row>
    <row r="175" spans="1:11" ht="12.75">
      <c r="A175" s="52" t="s">
        <v>129</v>
      </c>
      <c r="B175" s="33">
        <f>E83</f>
        <v>2653.848</v>
      </c>
      <c r="C175" s="33"/>
      <c r="D175" s="33"/>
      <c r="E175" s="33">
        <f>B175*E58</f>
        <v>2388.4632</v>
      </c>
      <c r="F175" s="33">
        <f>B175-E175</f>
        <v>265.3847999999998</v>
      </c>
      <c r="G175" s="33"/>
      <c r="H175" s="8"/>
      <c r="K175" s="33"/>
    </row>
    <row r="176" spans="1:11" ht="12.75">
      <c r="A176" s="52" t="s">
        <v>130</v>
      </c>
      <c r="B176" s="33">
        <f>F83</f>
        <v>3264.23304</v>
      </c>
      <c r="C176" s="33"/>
      <c r="D176" s="33"/>
      <c r="E176" s="33"/>
      <c r="F176" s="33">
        <f>B176*F58</f>
        <v>2937.809736</v>
      </c>
      <c r="G176" s="33">
        <f>+B176-F176</f>
        <v>326.4233039999999</v>
      </c>
      <c r="H176" s="8"/>
      <c r="K176" s="33"/>
    </row>
    <row r="177" spans="1:10" ht="12.75">
      <c r="A177" s="52" t="s">
        <v>211</v>
      </c>
      <c r="B177" s="33">
        <f>+G135</f>
        <v>4015.0066392</v>
      </c>
      <c r="C177" s="33"/>
      <c r="D177" s="33"/>
      <c r="E177" s="33"/>
      <c r="F177" s="33"/>
      <c r="G177" s="33">
        <f>+G58*B177</f>
        <v>3613.50597528</v>
      </c>
      <c r="H177" s="8"/>
      <c r="I177" s="8"/>
      <c r="J177" s="33"/>
    </row>
    <row r="178" spans="1:11" ht="12.75">
      <c r="A178" s="52" t="s">
        <v>73</v>
      </c>
      <c r="B178" s="33"/>
      <c r="C178" s="33"/>
      <c r="D178" s="33">
        <f>D137</f>
        <v>1515.5423865245768</v>
      </c>
      <c r="E178" s="33">
        <f>E137</f>
        <v>2014.9745942243703</v>
      </c>
      <c r="F178" s="33">
        <f>F137</f>
        <v>2586.596608672686</v>
      </c>
      <c r="G178" s="33">
        <f>G137</f>
        <v>3245.0455041780297</v>
      </c>
      <c r="H178" s="8"/>
      <c r="K178" s="33"/>
    </row>
    <row r="179" spans="1:11" ht="12.75">
      <c r="A179" s="52" t="s">
        <v>131</v>
      </c>
      <c r="B179" s="33"/>
      <c r="C179" s="33">
        <f>+C51</f>
        <v>40000</v>
      </c>
      <c r="D179" s="33">
        <f>+D51</f>
        <v>0</v>
      </c>
      <c r="E179" s="33">
        <f>+E51</f>
        <v>0</v>
      </c>
      <c r="F179" s="33">
        <f>+F51</f>
        <v>0</v>
      </c>
      <c r="G179" s="33">
        <f>+G51</f>
        <v>0</v>
      </c>
      <c r="H179" s="8"/>
      <c r="K179" s="33"/>
    </row>
    <row r="180" spans="1:11" ht="12.75">
      <c r="A180" s="52" t="s">
        <v>74</v>
      </c>
      <c r="B180" s="33"/>
      <c r="C180" s="33"/>
      <c r="D180" s="33">
        <f>D141</f>
        <v>4999.522572557812</v>
      </c>
      <c r="E180" s="33">
        <f>E141</f>
        <v>2404.917373026594</v>
      </c>
      <c r="F180" s="33">
        <f>F141</f>
        <v>35.31235155442792</v>
      </c>
      <c r="G180" s="33">
        <f>G141</f>
        <v>0</v>
      </c>
      <c r="H180" s="8"/>
      <c r="K180" s="33"/>
    </row>
    <row r="181" spans="1:11" ht="12.75">
      <c r="A181" s="52" t="s">
        <v>132</v>
      </c>
      <c r="B181" s="33"/>
      <c r="C181" s="33"/>
      <c r="D181" s="33"/>
      <c r="E181" s="33">
        <f>IF(+D61*D145&lt;0,0,D61*D145)</f>
        <v>298.7514083981402</v>
      </c>
      <c r="F181" s="33">
        <f>IF(+E61*E145&lt;0,0,E61*E145)</f>
        <v>1903.4459187285852</v>
      </c>
      <c r="G181" s="33">
        <f>IF(+F61*F145&lt;0,0,F61*F145)</f>
        <v>4307.568073048406</v>
      </c>
      <c r="H181" s="8"/>
      <c r="K181" s="33"/>
    </row>
    <row r="182" spans="1:8" ht="12.75">
      <c r="A182" s="32" t="s">
        <v>372</v>
      </c>
      <c r="B182" s="60"/>
      <c r="C182" s="33">
        <f>('AJUSTE POR INFLACION'!C182-FLUJO_DE_CAJA_PROYECTO!C143)*C7*$D$5*$F$5+('AJUSTE POR INFLACION'!B182-FLUJO_DE_CAJA_PROYECTO!B143)*B7*$D$5*(1-$F$5)</f>
        <v>0</v>
      </c>
      <c r="D182" s="33">
        <f>('AJUSTE POR INFLACION'!D182-FLUJO_DE_CAJA_PROYECTO!D143)*D7*$D$5*$F$5+('AJUSTE POR INFLACION'!C182-FLUJO_DE_CAJA_PROYECTO!C143)*C7*$D$5*(1-$F$5)</f>
        <v>0</v>
      </c>
      <c r="E182" s="33">
        <f>('AJUSTE POR INFLACION'!E182-FLUJO_DE_CAJA_PROYECTO!E143)*E7*$D$5*$F$5+('AJUSTE POR INFLACION'!D182-FLUJO_DE_CAJA_PROYECTO!D143)*D7*$D$5*(1-$F$5)</f>
        <v>0</v>
      </c>
      <c r="F182" s="33">
        <f>('AJUSTE POR INFLACION'!F182-FLUJO_DE_CAJA_PROYECTO!F143)*F7*$D$5*$F$5+('AJUSTE POR INFLACION'!E182-FLUJO_DE_CAJA_PROYECTO!E143)*E7*$D$5*(1-$F$5)</f>
        <v>0</v>
      </c>
      <c r="G182" s="33">
        <f>('AJUSTE POR INFLACION'!G182-FLUJO_DE_CAJA_PROYECTO!G143)*G7*$D$5*$F$5+('AJUSTE POR INFLACION'!F182-FLUJO_DE_CAJA_PROYECTO!F143)*F7*$D$5*(1-$F$5)</f>
        <v>0</v>
      </c>
      <c r="H182" s="8"/>
    </row>
    <row r="183" spans="1:11" ht="12.75">
      <c r="A183" s="52" t="s">
        <v>133</v>
      </c>
      <c r="B183" s="33"/>
      <c r="C183" s="33"/>
      <c r="D183" s="33">
        <f>+D144*$F$5+C144*(1-$F$5)</f>
        <v>0</v>
      </c>
      <c r="E183" s="33">
        <f>+E144*$F$5+D144*(1-$F$5)</f>
        <v>597.5028167962804</v>
      </c>
      <c r="F183" s="33">
        <f>+F144*$F$5+E144*(1-$F$5)</f>
        <v>3806.8918374571704</v>
      </c>
      <c r="G183" s="33">
        <f>+G144*$F$5+F144*(1-$F$5)</f>
        <v>8615.136146096815</v>
      </c>
      <c r="H183" s="8"/>
      <c r="I183" s="143"/>
      <c r="K183" s="33"/>
    </row>
    <row r="184" spans="1:11" ht="12.75">
      <c r="A184" s="53"/>
      <c r="B184" s="33"/>
      <c r="C184" s="33"/>
      <c r="D184" s="33"/>
      <c r="E184" s="33"/>
      <c r="F184" s="33"/>
      <c r="G184" s="33"/>
      <c r="H184" s="8"/>
      <c r="K184" s="33"/>
    </row>
    <row r="185" spans="1:11" ht="14.25" thickBot="1">
      <c r="A185" s="55" t="s">
        <v>134</v>
      </c>
      <c r="B185" s="33"/>
      <c r="C185" s="33">
        <f>SUM(C164:C184)</f>
        <v>40000</v>
      </c>
      <c r="D185" s="33">
        <f>SUM(D164:D184)-D169</f>
        <v>39718.72177862684</v>
      </c>
      <c r="E185" s="33">
        <f>SUM(E164:E184)-E169</f>
        <v>49812.14827856562</v>
      </c>
      <c r="F185" s="33">
        <f>SUM(F164:F184)-F169</f>
        <v>63143.88110305535</v>
      </c>
      <c r="G185" s="33">
        <f>SUM(G164:G184)-G169</f>
        <v>83449.19718432828</v>
      </c>
      <c r="H185" s="8"/>
      <c r="K185" s="33"/>
    </row>
    <row r="186" spans="1:11" ht="13.5" thickTop="1">
      <c r="A186" s="53"/>
      <c r="B186" s="33"/>
      <c r="C186" s="33"/>
      <c r="D186" s="33"/>
      <c r="E186" s="33"/>
      <c r="F186" s="33"/>
      <c r="G186" s="33"/>
      <c r="H186" s="8"/>
      <c r="K186" s="33"/>
    </row>
    <row r="187" spans="1:11" ht="14.25" thickBot="1">
      <c r="A187" s="55" t="s">
        <v>135</v>
      </c>
      <c r="B187" s="33"/>
      <c r="C187" s="33">
        <f>C160-C185</f>
        <v>-16000</v>
      </c>
      <c r="D187" s="33">
        <f>D160-D185</f>
        <v>8273.453794651432</v>
      </c>
      <c r="E187" s="33">
        <f>E160-E185</f>
        <v>16521.284516080406</v>
      </c>
      <c r="F187" s="33">
        <f>F160-F185</f>
        <v>33403.43385267223</v>
      </c>
      <c r="G187" s="98">
        <f>G160-G185</f>
        <v>65919.93932310047</v>
      </c>
      <c r="H187" s="8"/>
      <c r="K187" s="33"/>
    </row>
    <row r="188" spans="1:11" ht="15" thickBot="1" thickTop="1">
      <c r="A188" s="55" t="s">
        <v>136</v>
      </c>
      <c r="B188" s="33"/>
      <c r="C188" s="34">
        <f>C187</f>
        <v>-16000</v>
      </c>
      <c r="D188" s="34">
        <f>+D187+C194</f>
        <v>8383.453794651432</v>
      </c>
      <c r="E188" s="34">
        <f>+E187+D194</f>
        <v>16631.284516080406</v>
      </c>
      <c r="F188" s="34">
        <f>+F187+E194</f>
        <v>33524.43385267223</v>
      </c>
      <c r="G188" s="34">
        <f>+G187+F194</f>
        <v>66069.93932310047</v>
      </c>
      <c r="H188" s="8"/>
      <c r="K188" s="34"/>
    </row>
    <row r="189" spans="1:11" ht="13.5" thickTop="1">
      <c r="A189" s="52" t="s">
        <v>137</v>
      </c>
      <c r="B189" s="33"/>
      <c r="C189" s="57">
        <f>IF(C188&lt;0,-C188+C63,0)</f>
        <v>16110</v>
      </c>
      <c r="D189" s="57">
        <f>IF(D188&lt;0,-D188+D63,0)</f>
        <v>0</v>
      </c>
      <c r="E189" s="57">
        <f>IF(E188&lt;0,-E188+E63,0)</f>
        <v>0</v>
      </c>
      <c r="F189" s="57">
        <f>IF(F188&lt;0,-F188+F63,0)</f>
        <v>0</v>
      </c>
      <c r="G189" s="57">
        <f>IF(G188&lt;0,-G188+G63,0)</f>
        <v>0</v>
      </c>
      <c r="H189" s="8"/>
      <c r="K189" s="57"/>
    </row>
    <row r="190" spans="1:11" ht="12.75">
      <c r="A190" s="52" t="s">
        <v>138</v>
      </c>
      <c r="B190" s="33"/>
      <c r="C190" s="33"/>
      <c r="D190" s="5">
        <f>IF((D188)&gt;SUM($C$189:C189)-SUM($C$190:C190),IF(SUM($C$189:C189)-SUM($C$190:C190)-D62&lt;0,SUM($C$189:C189)-SUM($C$190:C190),SUM($C$189:C189)-SUM($C$190:C190)-D62),IF((D188)&gt;0,D188-D62,0))</f>
        <v>8273.453794651432</v>
      </c>
      <c r="E190" s="5">
        <f>IF((E188)&gt;SUM($C$189:D189)-SUM($C$190:D190),IF(SUM($C$189:D189)-SUM($C$190:D190)-E62&lt;0,SUM($C$189:D189)-SUM($C$190:D190),SUM($C$189:D189)-SUM($C$190:D190)-E62),IF((E188)&gt;0,E188-E62,0))</f>
        <v>7715.546205348568</v>
      </c>
      <c r="F190" s="5">
        <f>IF((F188)&gt;SUM($C$189:E189)-SUM($C$190:E190),IF(SUM($C$189:E189)-SUM($C$190:E190)-F62&lt;0,SUM($C$189:E189)-SUM($C$190:E190),SUM($C$189:E189)-SUM($C$190:E190)-F62),IF((F188)&gt;0,F188-F62,0))</f>
        <v>121</v>
      </c>
      <c r="G190" s="5">
        <f>IF((G188)&gt;SUM($C$189:F189)-SUM($C$190:F190),IF(SUM($C$189:F189)-SUM($C$190:F190)-G62&lt;0,SUM($C$189:F189)-SUM($C$190:F190),SUM($C$189:F189)-SUM($C$190:F190)-G62),IF((G188)&gt;0,G188-G62,0))</f>
        <v>0</v>
      </c>
      <c r="H190" s="8"/>
      <c r="K190" s="5"/>
    </row>
    <row r="191" spans="1:11" ht="12.75">
      <c r="A191" s="52" t="s">
        <v>139</v>
      </c>
      <c r="B191" s="33"/>
      <c r="C191" s="2">
        <f>IF(C189&gt;0,0,IF((+C188-C190)&gt;C62,+C188-C190-C62,0))*$H$5</f>
        <v>0</v>
      </c>
      <c r="D191" s="2">
        <f>IF((+D188-D190+D189)&gt;D62,+D188-D190+D189-D62,0)*$H$5</f>
        <v>0</v>
      </c>
      <c r="E191" s="2">
        <f>IF((+E188-E190+E189)&gt;E62,+E188-E190+E189-E62,0)*H5</f>
        <v>8794.738310731838</v>
      </c>
      <c r="F191" s="2">
        <f>IF((+F188-F190+F189)&gt;F62,+F188-F190+F189-F62,0)*1</f>
        <v>33253.43385267223</v>
      </c>
      <c r="G191" s="2">
        <f>IF((+G188-G190+G189)&gt;G62,+G188-G190+G189-G62,0)*1</f>
        <v>65919.93932310047</v>
      </c>
      <c r="H191" s="8"/>
      <c r="K191" s="2"/>
    </row>
    <row r="192" spans="1:11" ht="14.25" thickBot="1">
      <c r="A192" s="55" t="s">
        <v>140</v>
      </c>
      <c r="B192" s="33"/>
      <c r="C192" s="2">
        <f>C187+C189-C191-C190</f>
        <v>110</v>
      </c>
      <c r="D192" s="2">
        <f>D187+D189-D191-D190</f>
        <v>0</v>
      </c>
      <c r="E192" s="2">
        <f>E187+E189-E191-E190</f>
        <v>11</v>
      </c>
      <c r="F192" s="2">
        <f>F187+F189-F191-F190</f>
        <v>29</v>
      </c>
      <c r="G192" s="2">
        <f>G187+G189-G191-G190</f>
        <v>0</v>
      </c>
      <c r="H192" s="8"/>
      <c r="K192" s="2"/>
    </row>
    <row r="193" spans="1:14" ht="13.5" thickTop="1">
      <c r="A193" s="4"/>
      <c r="B193" s="2"/>
      <c r="C193" s="2"/>
      <c r="D193" s="2"/>
      <c r="E193" s="2"/>
      <c r="F193" s="2"/>
      <c r="G193" s="2"/>
      <c r="H193" s="2"/>
      <c r="I193" s="2"/>
      <c r="J193" s="2"/>
      <c r="K193" s="2"/>
      <c r="L193" s="2"/>
      <c r="M193" s="2"/>
      <c r="N193" s="1"/>
    </row>
    <row r="194" spans="1:11" ht="14.25" thickBot="1">
      <c r="A194" s="55" t="s">
        <v>136</v>
      </c>
      <c r="B194" s="33"/>
      <c r="C194" s="34">
        <f>C149+C192</f>
        <v>110</v>
      </c>
      <c r="D194" s="34">
        <f>C194+D192</f>
        <v>110</v>
      </c>
      <c r="E194" s="34">
        <f>D194+E192</f>
        <v>121</v>
      </c>
      <c r="F194" s="34">
        <f>E194+F192</f>
        <v>150</v>
      </c>
      <c r="G194" s="34">
        <f>F194+G192</f>
        <v>150</v>
      </c>
      <c r="H194" s="8"/>
      <c r="K194" s="34"/>
    </row>
    <row r="195" spans="2:11" ht="13.5" thickTop="1">
      <c r="B195" s="33"/>
      <c r="C195" s="78"/>
      <c r="D195" s="78"/>
      <c r="E195" s="78"/>
      <c r="F195" s="78"/>
      <c r="G195" s="78"/>
      <c r="H195" s="8"/>
      <c r="K195" s="78"/>
    </row>
    <row r="196" spans="1:11" ht="13.5">
      <c r="A196" s="58" t="s">
        <v>142</v>
      </c>
      <c r="B196" s="33"/>
      <c r="C196" s="78">
        <f>+C110/C115</f>
        <v>0.4016454749439043</v>
      </c>
      <c r="D196" s="78">
        <f>+D110/D115</f>
        <v>0.3186962379606465</v>
      </c>
      <c r="E196" s="78">
        <f>+E110/E115</f>
        <v>0.2042448040000363</v>
      </c>
      <c r="F196" s="78">
        <f>+F110/F115</f>
        <v>0.23803145721601954</v>
      </c>
      <c r="G196" s="78">
        <f>+G110/G115</f>
        <v>0.24487965758116392</v>
      </c>
      <c r="H196" s="78"/>
      <c r="I196"/>
      <c r="K196" s="78"/>
    </row>
    <row r="197" ht="12.75">
      <c r="I197"/>
    </row>
    <row r="198" spans="1:11" ht="13.5">
      <c r="A198" s="58"/>
      <c r="B198" s="33"/>
      <c r="C198" s="78"/>
      <c r="D198" s="34"/>
      <c r="E198" s="34"/>
      <c r="F198" s="34"/>
      <c r="G198" s="34"/>
      <c r="H198" s="8"/>
      <c r="I198"/>
      <c r="K198" s="34"/>
    </row>
    <row r="199" spans="1:9" ht="12.75">
      <c r="A199" s="53"/>
      <c r="B199" s="33"/>
      <c r="C199" s="33"/>
      <c r="D199" s="33"/>
      <c r="E199" s="33"/>
      <c r="F199" s="33"/>
      <c r="G199" s="33"/>
      <c r="H199" s="8"/>
      <c r="I199"/>
    </row>
    <row r="200" spans="1:9" ht="12.75">
      <c r="A200" s="52" t="s">
        <v>143</v>
      </c>
      <c r="B200" s="33"/>
      <c r="C200" s="33"/>
      <c r="D200" s="33"/>
      <c r="E200" s="33"/>
      <c r="F200" s="33"/>
      <c r="G200" s="33"/>
      <c r="H200" s="8"/>
      <c r="I200"/>
    </row>
    <row r="201" spans="1:9" ht="12.75">
      <c r="A201" s="52" t="s">
        <v>144</v>
      </c>
      <c r="B201" s="33"/>
      <c r="C201" s="33"/>
      <c r="D201" s="33"/>
      <c r="E201" s="33"/>
      <c r="F201" s="33"/>
      <c r="G201" s="33"/>
      <c r="H201" s="8"/>
      <c r="I201"/>
    </row>
    <row r="202" spans="1:9" ht="12.75">
      <c r="A202" s="52" t="s">
        <v>145</v>
      </c>
      <c r="B202" s="33"/>
      <c r="C202" s="33"/>
      <c r="D202" s="33"/>
      <c r="E202" s="8"/>
      <c r="F202" s="33"/>
      <c r="G202" s="33"/>
      <c r="H202" s="8"/>
      <c r="I202"/>
    </row>
    <row r="203" spans="1:9" ht="12.75">
      <c r="A203" s="52" t="s">
        <v>146</v>
      </c>
      <c r="B203" s="33"/>
      <c r="C203" s="33"/>
      <c r="D203" s="33"/>
      <c r="E203" s="33"/>
      <c r="F203" s="33"/>
      <c r="G203" s="33"/>
      <c r="H203" s="8"/>
      <c r="I203"/>
    </row>
    <row r="204" spans="1:8" ht="12.75">
      <c r="A204" s="59" t="str">
        <f>A192</f>
        <v>NUEVO SALDO DEL ANO</v>
      </c>
      <c r="B204" s="60"/>
      <c r="C204" s="59">
        <f>C192</f>
        <v>110</v>
      </c>
      <c r="D204" s="59">
        <f>D192</f>
        <v>0</v>
      </c>
      <c r="E204" s="59">
        <f>E192</f>
        <v>11</v>
      </c>
      <c r="F204" s="59">
        <f>F192</f>
        <v>29</v>
      </c>
      <c r="G204" s="59">
        <f>G192</f>
        <v>0</v>
      </c>
      <c r="H204" s="8"/>
    </row>
    <row r="205" spans="1:8" ht="12.75">
      <c r="A205" s="59" t="s">
        <v>442</v>
      </c>
      <c r="B205" s="60"/>
      <c r="C205" s="33">
        <f>-C194</f>
        <v>-110</v>
      </c>
      <c r="D205" s="33">
        <f>-D194</f>
        <v>-110</v>
      </c>
      <c r="E205" s="33">
        <f>-E194</f>
        <v>-121</v>
      </c>
      <c r="F205" s="33">
        <f>-F194</f>
        <v>-150</v>
      </c>
      <c r="G205" s="33">
        <f>-G194</f>
        <v>-150</v>
      </c>
      <c r="H205" s="8"/>
    </row>
    <row r="206" spans="1:8" ht="12.75">
      <c r="A206" s="59" t="s">
        <v>443</v>
      </c>
      <c r="B206" s="60"/>
      <c r="C206" s="33">
        <f>B194</f>
        <v>0</v>
      </c>
      <c r="D206" s="33">
        <f>C194</f>
        <v>110</v>
      </c>
      <c r="E206" s="33">
        <f>D194</f>
        <v>110</v>
      </c>
      <c r="F206" s="33">
        <f>E194</f>
        <v>121</v>
      </c>
      <c r="G206" s="33">
        <f>F194</f>
        <v>150</v>
      </c>
      <c r="H206" s="8"/>
    </row>
    <row r="207" spans="1:8" ht="12.75">
      <c r="A207" s="59" t="s">
        <v>137</v>
      </c>
      <c r="B207" s="60" t="s">
        <v>148</v>
      </c>
      <c r="C207" s="33">
        <f>-C189</f>
        <v>-16110</v>
      </c>
      <c r="D207" s="33">
        <f>-D189</f>
        <v>0</v>
      </c>
      <c r="E207" s="33">
        <f>-E189</f>
        <v>0</v>
      </c>
      <c r="F207" s="33">
        <f>-F189</f>
        <v>0</v>
      </c>
      <c r="G207" s="33">
        <f>-G189</f>
        <v>0</v>
      </c>
      <c r="H207" s="8"/>
    </row>
    <row r="208" spans="1:8" ht="12.75">
      <c r="A208" s="59" t="s">
        <v>138</v>
      </c>
      <c r="B208" s="60" t="s">
        <v>452</v>
      </c>
      <c r="C208" s="33">
        <f>C190</f>
        <v>0</v>
      </c>
      <c r="D208" s="33">
        <f>D190</f>
        <v>8273.453794651432</v>
      </c>
      <c r="E208" s="33">
        <f>E190</f>
        <v>7715.546205348568</v>
      </c>
      <c r="F208" s="33">
        <f>F190</f>
        <v>121</v>
      </c>
      <c r="G208" s="33">
        <f>G190</f>
        <v>0</v>
      </c>
      <c r="H208" s="8"/>
    </row>
    <row r="209" spans="1:8" ht="12.75">
      <c r="A209" s="59" t="s">
        <v>74</v>
      </c>
      <c r="B209" s="60" t="s">
        <v>452</v>
      </c>
      <c r="C209" s="33">
        <f>C180</f>
        <v>0</v>
      </c>
      <c r="D209" s="33">
        <f>D180</f>
        <v>4999.522572557812</v>
      </c>
      <c r="E209" s="33">
        <f>E180</f>
        <v>2404.917373026594</v>
      </c>
      <c r="F209" s="33">
        <f>F180</f>
        <v>35.31235155442792</v>
      </c>
      <c r="G209" s="33">
        <f>G180</f>
        <v>0</v>
      </c>
      <c r="H209" s="8"/>
    </row>
    <row r="210" spans="1:8" ht="12.75">
      <c r="A210" s="61" t="s">
        <v>149</v>
      </c>
      <c r="B210" s="60" t="s">
        <v>148</v>
      </c>
      <c r="C210" s="33"/>
      <c r="D210" s="33">
        <f>IF(((D141-D139-D140)*$F$5+(C141-C139-C140)*(1-$F$5))&lt;0,-D141*D7*$F$5-C141*C7*(1-$F$5),IF((D139+D140)*$F$5+(C139+C140)*(1-$F$5)&gt;=0,-(D139+D140)*$F$5*D7-(C139+C140)*(1-$F$5)*D7,0))</f>
        <v>0</v>
      </c>
      <c r="E210" s="33">
        <f>IF(((E141-E139-E140)*$F$5+(D141-D139-D140)*(1-$F$5))&lt;0,-E141*E7*$F$5-D141*D7*(1-$F$5),IF((E139+E140)*$F$5+(D139+D140)*(1-$F$5)&gt;=0,-(E139+E140)*$F$5*E7-(D139+D140)*(1-$F$5)*E7,0))</f>
        <v>-1874.8209647091794</v>
      </c>
      <c r="F210" s="33">
        <f>IF(((F141-F139-F140)*$F$5+(E141-E139-E140)*(1-$F$5))&lt;0,-F141*F7*$F$5-E141*E7*(1-$F$5),IF((F139+F140)*$F$5+(E139+E140)*(1-$F$5)&gt;=0,-(F139+F140)*$F$5*F7-(E139+E140)*(1-$F$5)*F7,0))</f>
        <v>-901.8440148849727</v>
      </c>
      <c r="G210" s="33">
        <f>IF(((G141-G139-G140)*$F$5+(F141-F139-F140)*(1-$F$5))&lt;0,-G141*G7*$F$5-F141*F7*(1-$F$5),IF((G139+G140)*$F$5+(F139+F140)*(1-$F$5)&gt;=0,-(G139+G140)*$F$5*G7-(F139+F140)*(1-$F$5)*G7,0))</f>
        <v>-13.24213183291047</v>
      </c>
      <c r="H210" s="33">
        <f>IF(((H141-H139-H140)*$F$5+(G141-G139-G140)*(1-$F$5))&lt;0,-H141*H7*$F$5-G141*G7*(1-$F$5),IF((H139+H140)*$F$5+(G139+G140)*(1-$F$5)&gt;=0,-(H139+H140)*$F$5*H7-(G139+G140)*(1-$F$5)*H7,0))</f>
        <v>0</v>
      </c>
    </row>
    <row r="211" spans="1:8" s="153" customFormat="1" ht="25.5">
      <c r="A211" s="61" t="s">
        <v>430</v>
      </c>
      <c r="B211" s="60" t="s">
        <v>148</v>
      </c>
      <c r="D211" s="154">
        <f>IF(C143&lt;0,C143*C3-C144,0)*$F$3+IF(B143&lt;0,B143*B3-B144,0)*(1-$F$3)</f>
        <v>0</v>
      </c>
      <c r="E211" s="154">
        <f>IF(D143&lt;0,D143*D3-D144,0)*$F$3+IF(C143&lt;0,C143*C3-C144,0)*(1-$F$3)</f>
        <v>0</v>
      </c>
      <c r="F211" s="154">
        <f>IF(E143&lt;0,E143*E3-E144,0)*$F$3+IF(D143&lt;0,D143*D3-D144,0)*(1-$F$3)</f>
        <v>0</v>
      </c>
      <c r="G211" s="154">
        <f>IF(F143&lt;0,F143*F3-F144,0)*$F$3+IF(E143&lt;0,E143*E3-E144,0)*(1-$F$3)</f>
        <v>0</v>
      </c>
      <c r="H211" s="154">
        <f>IF(G143&lt;0,G143*G3-G144,0)*$F$3+IF(F143&lt;0,F143*F3-F144,0)*(1-$F$3)</f>
        <v>0</v>
      </c>
    </row>
    <row r="212" spans="1:9" ht="12.75">
      <c r="A212" s="59" t="s">
        <v>132</v>
      </c>
      <c r="B212" s="60" t="s">
        <v>452</v>
      </c>
      <c r="C212" s="33">
        <f>C181</f>
        <v>0</v>
      </c>
      <c r="D212" s="33">
        <f>D181</f>
        <v>0</v>
      </c>
      <c r="E212" s="33">
        <f>E181</f>
        <v>298.7514083981402</v>
      </c>
      <c r="F212" s="33">
        <f>F181</f>
        <v>1903.4459187285852</v>
      </c>
      <c r="G212" s="33">
        <f>G181</f>
        <v>4307.568073048406</v>
      </c>
      <c r="H212" s="8"/>
      <c r="I212" s="8"/>
    </row>
    <row r="213" spans="1:8" ht="12.75">
      <c r="A213" s="32" t="s">
        <v>291</v>
      </c>
      <c r="B213" s="60" t="s">
        <v>148</v>
      </c>
      <c r="C213" s="111">
        <f>-C53</f>
        <v>0</v>
      </c>
      <c r="D213" s="111">
        <f>-D53</f>
        <v>0</v>
      </c>
      <c r="E213" s="111">
        <f>-E53</f>
        <v>0</v>
      </c>
      <c r="F213" s="111">
        <f>-F53</f>
        <v>0</v>
      </c>
      <c r="G213" s="111">
        <f>-G53</f>
        <v>0</v>
      </c>
      <c r="H213" s="8"/>
    </row>
    <row r="214" spans="1:8" ht="12.75">
      <c r="A214" s="32" t="s">
        <v>118</v>
      </c>
      <c r="B214" s="60" t="s">
        <v>148</v>
      </c>
      <c r="C214" s="33">
        <f>-C159</f>
        <v>-24000</v>
      </c>
      <c r="D214" s="33">
        <f>-D159</f>
        <v>0</v>
      </c>
      <c r="E214" s="33">
        <f>-E159</f>
        <v>0</v>
      </c>
      <c r="F214" s="33">
        <f>-F159</f>
        <v>0</v>
      </c>
      <c r="G214" s="33">
        <f>-G159</f>
        <v>0</v>
      </c>
      <c r="H214" s="8"/>
    </row>
    <row r="215" ht="12.75"/>
    <row r="216" spans="1:8" ht="12.75">
      <c r="A216" s="32" t="s">
        <v>340</v>
      </c>
      <c r="B216" s="60"/>
      <c r="C216" s="33">
        <f>SUM(C204:C215)</f>
        <v>-40110</v>
      </c>
      <c r="D216" s="33">
        <f>SUM(D204:D215)</f>
        <v>13272.976367209245</v>
      </c>
      <c r="E216" s="33">
        <f>SUM(E204:E215)</f>
        <v>8544.394022064123</v>
      </c>
      <c r="F216" s="33">
        <f>SUM(F204:F215)</f>
        <v>1157.9142553980405</v>
      </c>
      <c r="G216" s="33">
        <f>SUM(G204:G215)</f>
        <v>4294.325941215496</v>
      </c>
      <c r="H216" s="8"/>
    </row>
    <row r="217" spans="1:8" ht="12.75">
      <c r="A217" s="32"/>
      <c r="B217" s="60"/>
      <c r="C217" s="33"/>
      <c r="D217" s="33"/>
      <c r="E217" s="33"/>
      <c r="F217" s="33"/>
      <c r="G217" s="33"/>
      <c r="H217" s="8"/>
    </row>
    <row r="218" spans="1:8" ht="12.75">
      <c r="A218" s="156" t="s">
        <v>444</v>
      </c>
      <c r="B218" s="60"/>
      <c r="C218" s="33"/>
      <c r="D218" s="33"/>
      <c r="E218" s="33"/>
      <c r="F218" s="33"/>
      <c r="G218" s="33">
        <f>G216</f>
        <v>4294.325941215496</v>
      </c>
      <c r="H218" s="8"/>
    </row>
    <row r="219" spans="1:8" ht="12.75">
      <c r="A219" s="156" t="s">
        <v>445</v>
      </c>
      <c r="B219" s="60" t="s">
        <v>148</v>
      </c>
      <c r="C219" s="33"/>
      <c r="D219" s="33"/>
      <c r="E219" s="33"/>
      <c r="F219" s="33"/>
      <c r="G219" s="33">
        <f>-G157</f>
        <v>-33253.433852728005</v>
      </c>
      <c r="H219" s="8"/>
    </row>
    <row r="220" spans="1:8" ht="12.75">
      <c r="A220" s="156" t="s">
        <v>446</v>
      </c>
      <c r="B220" s="60" t="s">
        <v>148</v>
      </c>
      <c r="C220" s="33"/>
      <c r="D220" s="33"/>
      <c r="E220" s="33"/>
      <c r="F220" s="33"/>
      <c r="G220" s="33">
        <f>-G158</f>
        <v>-9044.934007942018</v>
      </c>
      <c r="H220" s="8"/>
    </row>
    <row r="221" spans="1:8" ht="12.75">
      <c r="A221" s="156" t="s">
        <v>451</v>
      </c>
      <c r="B221" s="60" t="s">
        <v>452</v>
      </c>
      <c r="C221" s="33"/>
      <c r="D221" s="33"/>
      <c r="E221" s="33"/>
      <c r="F221" s="33"/>
      <c r="G221" s="33">
        <f>G191</f>
        <v>65919.93932310047</v>
      </c>
      <c r="H221" s="8"/>
    </row>
    <row r="222" spans="1:8" ht="12.75">
      <c r="A222" s="156" t="s">
        <v>447</v>
      </c>
      <c r="B222" s="60" t="s">
        <v>452</v>
      </c>
      <c r="C222" s="33"/>
      <c r="D222" s="33"/>
      <c r="E222" s="33"/>
      <c r="F222" s="33"/>
      <c r="G222" s="33">
        <f>G194</f>
        <v>150</v>
      </c>
      <c r="H222" s="8"/>
    </row>
    <row r="223" spans="1:8" ht="12.75">
      <c r="A223" s="156" t="s">
        <v>448</v>
      </c>
      <c r="B223" s="60" t="s">
        <v>148</v>
      </c>
      <c r="C223" s="33"/>
      <c r="D223" s="33"/>
      <c r="E223" s="33"/>
      <c r="F223" s="33"/>
      <c r="G223" s="33">
        <f>-F194</f>
        <v>-150</v>
      </c>
      <c r="H223" s="8"/>
    </row>
    <row r="224" spans="1:8" ht="12.75">
      <c r="A224" s="156" t="s">
        <v>449</v>
      </c>
      <c r="B224" s="60" t="s">
        <v>452</v>
      </c>
      <c r="C224" s="33"/>
      <c r="D224" s="33"/>
      <c r="E224" s="33"/>
      <c r="F224" s="33"/>
      <c r="G224" s="33">
        <f>G179</f>
        <v>0</v>
      </c>
      <c r="H224" s="8"/>
    </row>
    <row r="225" spans="1:8" ht="12.75">
      <c r="A225" s="156" t="s">
        <v>450</v>
      </c>
      <c r="B225" s="60"/>
      <c r="C225" s="33"/>
      <c r="D225" s="33"/>
      <c r="E225" s="33"/>
      <c r="F225" s="33"/>
      <c r="G225" s="33">
        <f>SUM(G218:G224)</f>
        <v>27915.89740364594</v>
      </c>
      <c r="H225" s="8"/>
    </row>
    <row r="226" spans="1:8" ht="12.75">
      <c r="A226" s="156" t="s">
        <v>453</v>
      </c>
      <c r="B226" s="60"/>
      <c r="C226" s="33"/>
      <c r="D226" s="33"/>
      <c r="E226" s="33"/>
      <c r="F226" s="33"/>
      <c r="G226" s="33">
        <f>G225*(1+G29)</f>
        <v>29590.8512478647</v>
      </c>
      <c r="H226" s="8"/>
    </row>
    <row r="227" spans="1:8" ht="12.75">
      <c r="A227" s="32" t="s">
        <v>341</v>
      </c>
      <c r="B227" s="60" t="s">
        <v>147</v>
      </c>
      <c r="C227" s="53"/>
      <c r="D227" s="53"/>
      <c r="E227" s="53"/>
      <c r="F227" s="53"/>
      <c r="G227" s="33">
        <f>+G226/(G28-G30)</f>
        <v>118088.09491409862</v>
      </c>
      <c r="H227" s="8"/>
    </row>
    <row r="228" spans="1:8" ht="12.75">
      <c r="A228" s="32"/>
      <c r="B228" s="60"/>
      <c r="C228" s="53"/>
      <c r="D228" s="53"/>
      <c r="E228" s="53"/>
      <c r="F228" s="53"/>
      <c r="G228" s="33"/>
      <c r="H228" s="8"/>
    </row>
    <row r="229" spans="1:8" ht="12.75">
      <c r="A229" s="52" t="s">
        <v>150</v>
      </c>
      <c r="B229" s="53"/>
      <c r="C229" s="33"/>
      <c r="D229" s="33"/>
      <c r="E229" s="33"/>
      <c r="F229" s="33"/>
      <c r="G229" s="33"/>
      <c r="H229" s="8"/>
    </row>
    <row r="230" spans="1:8" ht="27">
      <c r="A230" s="62" t="s">
        <v>151</v>
      </c>
      <c r="B230" s="33"/>
      <c r="C230" s="34">
        <f>C216+C227</f>
        <v>-40110</v>
      </c>
      <c r="D230" s="34">
        <f>D216+D227</f>
        <v>13272.976367209245</v>
      </c>
      <c r="E230" s="34">
        <f>E216+E227</f>
        <v>8544.394022064123</v>
      </c>
      <c r="F230" s="34">
        <f>F216+F227</f>
        <v>1157.9142553980405</v>
      </c>
      <c r="G230" s="34">
        <f>G216+G227</f>
        <v>122382.42085531412</v>
      </c>
      <c r="H230" s="8"/>
    </row>
    <row r="231" spans="1:8" ht="13.5">
      <c r="A231" s="62" t="s">
        <v>454</v>
      </c>
      <c r="B231" s="33"/>
      <c r="C231" s="34"/>
      <c r="D231" s="78">
        <f>D27</f>
        <v>0.2932000000000001</v>
      </c>
      <c r="E231" s="78">
        <f>E27</f>
        <v>0.30380000000000007</v>
      </c>
      <c r="F231" s="78">
        <f>F27</f>
        <v>0.28259999999999996</v>
      </c>
      <c r="G231" s="78">
        <f>G27</f>
        <v>0.272</v>
      </c>
      <c r="H231" s="8"/>
    </row>
    <row r="232" spans="1:8" ht="12.75">
      <c r="A232" s="32" t="s">
        <v>152</v>
      </c>
      <c r="B232" s="53"/>
      <c r="C232" s="34">
        <v>1</v>
      </c>
      <c r="D232" s="63">
        <f>1/(1+B5*D27+IF(B5=1,0,1)*D16)</f>
        <v>0.7732755954222084</v>
      </c>
      <c r="E232" s="63">
        <f>D232/(1+$B$5*E27+IF($B$5=1,0,1)*E16)</f>
        <v>0.593093722520485</v>
      </c>
      <c r="F232" s="63">
        <f>E232/(1+$B$5*F27+IF($B$5=1,0,1)*F16)</f>
        <v>0.4624151898647162</v>
      </c>
      <c r="G232" s="63">
        <f>F232/(1+$B$5*G27+IF($B$5=1,0,1)*G16)</f>
        <v>0.36353395429616053</v>
      </c>
      <c r="H232" s="8"/>
    </row>
    <row r="233" spans="1:9" ht="25.5">
      <c r="A233" s="64" t="s">
        <v>153</v>
      </c>
      <c r="B233" s="33"/>
      <c r="C233" s="100">
        <f>SUMPRODUCT(C230:G230,C232:G232)</f>
        <v>20246.89769073261</v>
      </c>
      <c r="D233" s="52" t="s">
        <v>1</v>
      </c>
      <c r="E233" s="66" t="str">
        <f>IF($C$233&gt;0,"ACEPTE","RECHACE")</f>
        <v>ACEPTE</v>
      </c>
      <c r="F233" s="67"/>
      <c r="G233" s="67"/>
      <c r="H233" s="77">
        <f>vpn/I233-1</f>
        <v>0</v>
      </c>
      <c r="I233" s="9">
        <v>20246.89769073261</v>
      </c>
    </row>
    <row r="234" spans="1:8" ht="12.75">
      <c r="A234" s="32" t="s">
        <v>154</v>
      </c>
      <c r="B234" s="106"/>
      <c r="C234" s="34">
        <f>C230</f>
        <v>-40110</v>
      </c>
      <c r="D234" s="34">
        <f>IF(D230&lt;0,D230,0)</f>
        <v>0</v>
      </c>
      <c r="E234" s="34">
        <f>IF(E230&lt;0,E230,0)</f>
        <v>0</v>
      </c>
      <c r="F234" s="34">
        <f>IF(F230&lt;0,F230,0)</f>
        <v>0</v>
      </c>
      <c r="G234" s="99">
        <f>+G230+F230+E230+D230</f>
        <v>145357.70549998552</v>
      </c>
      <c r="H234" s="8"/>
    </row>
    <row r="235" spans="1:8" ht="25.5">
      <c r="A235" s="64" t="s">
        <v>153</v>
      </c>
      <c r="B235" s="33"/>
      <c r="C235" s="100">
        <f>SUMPRODUCT(C234:G234,C232:G232)</f>
        <v>12732.461467826499</v>
      </c>
      <c r="D235" s="52" t="s">
        <v>1</v>
      </c>
      <c r="E235" s="66" t="str">
        <f>IF(C235&gt;0,"ACEPTE","RECHACE")</f>
        <v>ACEPTE</v>
      </c>
      <c r="F235" s="67"/>
      <c r="G235" s="67"/>
      <c r="H235" s="8"/>
    </row>
    <row r="236" spans="1:8" ht="89.25">
      <c r="A236" s="69" t="s">
        <v>177</v>
      </c>
      <c r="B236" s="69"/>
      <c r="C236" s="69"/>
      <c r="D236" s="69"/>
      <c r="E236" s="69"/>
      <c r="F236" s="69"/>
      <c r="G236" s="69"/>
      <c r="H236" s="8"/>
    </row>
    <row r="237" spans="1:8" ht="25.5">
      <c r="A237" s="69" t="s">
        <v>392</v>
      </c>
      <c r="B237" s="53"/>
      <c r="C237" s="34">
        <f>-C159+C181-C53</f>
        <v>-24000</v>
      </c>
      <c r="D237" s="34">
        <f>-D50-D53+D181+D227</f>
        <v>0</v>
      </c>
      <c r="E237" s="34">
        <f>-E50-E53+E181+E227</f>
        <v>298.7514083981402</v>
      </c>
      <c r="F237" s="34">
        <f>-F50-F53+F181+F227</f>
        <v>1903.4459187285852</v>
      </c>
      <c r="G237" s="34">
        <f>-G50-G53+G181+G227</f>
        <v>122395.66298714702</v>
      </c>
      <c r="H237" s="8"/>
    </row>
    <row r="238" spans="1:8" ht="25.5">
      <c r="A238" s="32" t="s">
        <v>155</v>
      </c>
      <c r="B238" s="53"/>
      <c r="C238" s="68">
        <v>1</v>
      </c>
      <c r="D238" s="63">
        <f>1/(1+D24)</f>
        <v>0.737996107938011</v>
      </c>
      <c r="E238" s="63">
        <f>D238/(1+E24)</f>
        <v>0.5492087942991063</v>
      </c>
      <c r="F238" s="63">
        <f>E238/(1+F24)</f>
        <v>0.4134379060421307</v>
      </c>
      <c r="G238" s="63">
        <f>F238/(1+G24)</f>
        <v>0.31351382657208343</v>
      </c>
      <c r="H238" s="8"/>
    </row>
    <row r="239" spans="1:8" ht="25.5">
      <c r="A239" s="64" t="s">
        <v>156</v>
      </c>
      <c r="B239" s="53"/>
      <c r="C239" s="65">
        <f>SUMPRODUCT(C237:G237,C238:G238)</f>
        <v>15323.766254632672</v>
      </c>
      <c r="D239" s="52" t="s">
        <v>2</v>
      </c>
      <c r="E239" s="59" t="str">
        <f>IF(C239&gt;0,"ACEPTE","RECHACE")</f>
        <v>ACEPTE</v>
      </c>
      <c r="F239" s="70"/>
      <c r="G239" s="70"/>
      <c r="H239" s="8"/>
    </row>
    <row r="240" spans="1:7" ht="25.5">
      <c r="A240" s="64" t="s">
        <v>393</v>
      </c>
      <c r="B240" s="68"/>
      <c r="C240" s="34">
        <f>-C189+C180+C210+C190</f>
        <v>-16110</v>
      </c>
      <c r="D240" s="99">
        <f>-D189+D180+D210+D190</f>
        <v>13272.976367209245</v>
      </c>
      <c r="E240" s="99">
        <f>-E189+E180+E210+E190</f>
        <v>8245.642613665983</v>
      </c>
      <c r="F240" s="99">
        <f>-F189+F180+F210+F190</f>
        <v>-745.5316633305448</v>
      </c>
      <c r="G240" s="99">
        <f>-G189+G180+G210+G190</f>
        <v>-13.24213183291047</v>
      </c>
    </row>
    <row r="241" spans="1:7" ht="12.75">
      <c r="A241" s="64"/>
      <c r="B241" s="68"/>
      <c r="C241" s="34"/>
      <c r="D241" s="99"/>
      <c r="E241" s="99"/>
      <c r="F241" s="99"/>
      <c r="G241" s="99"/>
    </row>
    <row r="242" spans="1:7" ht="12.75">
      <c r="A242" s="64" t="s">
        <v>499</v>
      </c>
      <c r="B242" s="68"/>
      <c r="C242" s="34">
        <f aca="true" t="shared" si="1" ref="C242:G245">C207</f>
        <v>-16110</v>
      </c>
      <c r="D242" s="34">
        <f t="shared" si="1"/>
        <v>0</v>
      </c>
      <c r="E242" s="34">
        <f t="shared" si="1"/>
        <v>0</v>
      </c>
      <c r="F242" s="34">
        <f t="shared" si="1"/>
        <v>0</v>
      </c>
      <c r="G242" s="34">
        <f t="shared" si="1"/>
        <v>0</v>
      </c>
    </row>
    <row r="243" spans="1:7" ht="12.75">
      <c r="A243" s="64" t="s">
        <v>495</v>
      </c>
      <c r="B243" s="68"/>
      <c r="C243" s="34">
        <f t="shared" si="1"/>
        <v>0</v>
      </c>
      <c r="D243" s="34">
        <f t="shared" si="1"/>
        <v>8273.453794651432</v>
      </c>
      <c r="E243" s="34">
        <f t="shared" si="1"/>
        <v>7715.546205348568</v>
      </c>
      <c r="F243" s="34">
        <f t="shared" si="1"/>
        <v>121</v>
      </c>
      <c r="G243" s="34">
        <f t="shared" si="1"/>
        <v>0</v>
      </c>
    </row>
    <row r="244" spans="1:7" ht="12.75">
      <c r="A244" s="64" t="s">
        <v>496</v>
      </c>
      <c r="B244" s="68"/>
      <c r="C244" s="34">
        <f t="shared" si="1"/>
        <v>0</v>
      </c>
      <c r="D244" s="34">
        <f t="shared" si="1"/>
        <v>4999.522572557812</v>
      </c>
      <c r="E244" s="34">
        <f t="shared" si="1"/>
        <v>2404.917373026594</v>
      </c>
      <c r="F244" s="34">
        <f t="shared" si="1"/>
        <v>35.31235155442792</v>
      </c>
      <c r="G244" s="34">
        <f t="shared" si="1"/>
        <v>0</v>
      </c>
    </row>
    <row r="245" spans="1:7" ht="12.75">
      <c r="A245" s="64" t="s">
        <v>497</v>
      </c>
      <c r="B245" s="68"/>
      <c r="C245" s="34">
        <f t="shared" si="1"/>
        <v>0</v>
      </c>
      <c r="D245" s="34">
        <f t="shared" si="1"/>
        <v>0</v>
      </c>
      <c r="E245" s="34">
        <f t="shared" si="1"/>
        <v>-1874.8209647091794</v>
      </c>
      <c r="F245" s="34">
        <f t="shared" si="1"/>
        <v>-901.8440148849727</v>
      </c>
      <c r="G245" s="34">
        <f t="shared" si="1"/>
        <v>-13.24213183291047</v>
      </c>
    </row>
    <row r="246" spans="1:7" ht="12.75">
      <c r="A246" s="64" t="s">
        <v>498</v>
      </c>
      <c r="B246" s="68"/>
      <c r="C246" s="34">
        <f>SUM(C242:C245)</f>
        <v>-16110</v>
      </c>
      <c r="D246" s="34">
        <f>SUM(D242:D245)</f>
        <v>13272.976367209245</v>
      </c>
      <c r="E246" s="34">
        <f>SUM(E242:E245)</f>
        <v>8245.642613665983</v>
      </c>
      <c r="F246" s="34">
        <f>SUM(F242:F245)</f>
        <v>-745.5316633305448</v>
      </c>
      <c r="G246" s="34">
        <f>SUM(G242:G245)</f>
        <v>-13.24213183291047</v>
      </c>
    </row>
    <row r="247" spans="1:7" ht="12.75">
      <c r="A247" s="64"/>
      <c r="B247" s="68"/>
      <c r="C247" s="34"/>
      <c r="D247" s="99"/>
      <c r="E247" s="99"/>
      <c r="F247" s="99"/>
      <c r="G247" s="99"/>
    </row>
    <row r="248" spans="1:7" ht="12.75">
      <c r="A248" s="64"/>
      <c r="B248" s="68"/>
      <c r="C248" s="34"/>
      <c r="D248" s="99"/>
      <c r="E248" s="99"/>
      <c r="F248" s="99"/>
      <c r="G248" s="99"/>
    </row>
    <row r="249" spans="1:8" ht="12.75">
      <c r="A249" s="68"/>
      <c r="B249" s="68"/>
      <c r="C249" s="68">
        <v>1</v>
      </c>
      <c r="D249" s="68">
        <f>1/(1+D21)</f>
        <v>0.8187299611772022</v>
      </c>
      <c r="E249" s="68">
        <f>+D249/(1+E21)</f>
        <v>0.6717961806187601</v>
      </c>
      <c r="F249" s="68">
        <f>+E249/(1+F21)</f>
        <v>0.556579709755868</v>
      </c>
      <c r="G249" s="68">
        <f>+F249/(1+G21)</f>
        <v>0.4637326445017986</v>
      </c>
      <c r="H249" s="68"/>
    </row>
    <row r="250" spans="1:7" ht="12.75">
      <c r="A250" s="68"/>
      <c r="B250" s="68"/>
      <c r="C250" s="68"/>
      <c r="D250" s="68"/>
      <c r="E250" s="68"/>
      <c r="F250" s="68"/>
      <c r="G250" s="68"/>
    </row>
    <row r="251" spans="1:8" ht="12.75">
      <c r="A251" s="32" t="s">
        <v>157</v>
      </c>
      <c r="B251" s="53"/>
      <c r="C251" s="34">
        <f>+C230</f>
        <v>-40110</v>
      </c>
      <c r="D251" s="34">
        <f>+D230</f>
        <v>13272.976367209245</v>
      </c>
      <c r="E251" s="34">
        <f>+E230</f>
        <v>8544.394022064123</v>
      </c>
      <c r="F251" s="34">
        <f>+F230</f>
        <v>1157.9142553980405</v>
      </c>
      <c r="G251" s="34">
        <f>+G230</f>
        <v>122382.42085531412</v>
      </c>
      <c r="H251" s="8"/>
    </row>
    <row r="252" spans="1:8" ht="12.75">
      <c r="A252" s="32" t="s">
        <v>158</v>
      </c>
      <c r="B252" s="53"/>
      <c r="C252" s="34">
        <f>-C189+C190+C180+C210</f>
        <v>-16110</v>
      </c>
      <c r="D252" s="34">
        <f>-D189+D190+D180+D210</f>
        <v>13272.976367209245</v>
      </c>
      <c r="E252" s="34">
        <f>-E189+E190+E180+E210</f>
        <v>8245.642613665983</v>
      </c>
      <c r="F252" s="34">
        <f>-F189+F190+F180+F210</f>
        <v>-745.5316633305448</v>
      </c>
      <c r="G252" s="34">
        <f>-G189+G190+G180+G210</f>
        <v>-13.24213183291047</v>
      </c>
      <c r="H252" s="8"/>
    </row>
    <row r="253" spans="1:8" ht="12.75">
      <c r="A253" s="32" t="s">
        <v>159</v>
      </c>
      <c r="B253" s="53"/>
      <c r="C253" s="34">
        <f>-C50+C181</f>
        <v>-24000</v>
      </c>
      <c r="D253" s="34">
        <f>-D50-D53+D181</f>
        <v>0</v>
      </c>
      <c r="E253" s="34">
        <f>-E50-E53+E181</f>
        <v>298.7514083981402</v>
      </c>
      <c r="F253" s="34">
        <f>-F50-F53+F181</f>
        <v>1903.4459187285852</v>
      </c>
      <c r="G253" s="34">
        <f>-G50-G53+G181+G227</f>
        <v>122395.66298714702</v>
      </c>
      <c r="H253" s="8"/>
    </row>
    <row r="254" spans="1:8" ht="25.5">
      <c r="A254" s="32" t="s">
        <v>160</v>
      </c>
      <c r="B254" s="53"/>
      <c r="C254" s="34">
        <f>+C253+C252</f>
        <v>-40110</v>
      </c>
      <c r="D254" s="34">
        <f>+D253+D252</f>
        <v>13272.976367209245</v>
      </c>
      <c r="E254" s="34">
        <f>+E253+E252</f>
        <v>8544.394022064123</v>
      </c>
      <c r="F254" s="34">
        <f>+F253+F252</f>
        <v>1157.9142553980405</v>
      </c>
      <c r="G254" s="34">
        <f>+G253+G252</f>
        <v>122382.4208553141</v>
      </c>
      <c r="H254" s="8"/>
    </row>
    <row r="255" spans="3:7" ht="12.75">
      <c r="C255" s="9">
        <f>+C251-C254</f>
        <v>0</v>
      </c>
      <c r="D255" s="9">
        <f>+D251-D254</f>
        <v>0</v>
      </c>
      <c r="E255" s="9">
        <f>+E251-E254</f>
        <v>0</v>
      </c>
      <c r="F255" s="9">
        <f>+F251-F254</f>
        <v>0</v>
      </c>
      <c r="G255" s="9">
        <f>+G251-G254</f>
        <v>0</v>
      </c>
    </row>
    <row r="256" spans="1:7" ht="12.75">
      <c r="A256" s="8" t="s">
        <v>404</v>
      </c>
      <c r="D256" s="77">
        <v>0.31545296572337955</v>
      </c>
      <c r="E256" s="77">
        <v>0.3353394074887215</v>
      </c>
      <c r="F256" s="77">
        <v>0.31920704880553674</v>
      </c>
      <c r="G256" s="77">
        <v>0.3105828489263893</v>
      </c>
    </row>
    <row r="257" spans="1:7" ht="12.75">
      <c r="A257" s="8" t="s">
        <v>405</v>
      </c>
      <c r="C257" s="9">
        <v>1</v>
      </c>
      <c r="D257" s="146">
        <f>1/((1+D256))</f>
        <v>0.7601944167194841</v>
      </c>
      <c r="E257" s="146">
        <f>1/((1+E256)*(1+D256))</f>
        <v>0.5692892851482066</v>
      </c>
      <c r="F257" s="146">
        <f>1/((1+F256)*(1+E256)*(1+D256))</f>
        <v>0.4315389958412245</v>
      </c>
      <c r="G257" s="146">
        <f>1/((1+G256)*(1+F256)*(1+E256)*(1+D256))</f>
        <v>0.32927257990193837</v>
      </c>
    </row>
    <row r="258" spans="4:7" ht="12.75">
      <c r="D258" s="77">
        <f>D24</f>
        <v>0.3550206962392224</v>
      </c>
      <c r="E258" s="77">
        <f>E24</f>
        <v>0.34374415631824107</v>
      </c>
      <c r="F258" s="77">
        <f>F24</f>
        <v>0.3283948720539913</v>
      </c>
      <c r="G258" s="77">
        <f>G24</f>
        <v>0.3187230386697877</v>
      </c>
    </row>
    <row r="259" ht="12.75">
      <c r="A259" s="122" t="s">
        <v>322</v>
      </c>
    </row>
    <row r="260" spans="1:3" ht="12.75">
      <c r="A260" s="64" t="s">
        <v>174</v>
      </c>
      <c r="C260" s="34">
        <f>SUMPRODUCT($C$257:$G$257,C251:G251)</f>
        <v>15641.1350971664</v>
      </c>
    </row>
    <row r="261" spans="1:3" ht="12.75">
      <c r="A261" s="64" t="s">
        <v>175</v>
      </c>
      <c r="C261" s="34">
        <f>-SUMPRODUCT(D257:G257,D210:G210)</f>
        <v>1460.8566182810634</v>
      </c>
    </row>
    <row r="262" spans="1:3" ht="12.75">
      <c r="A262" s="64" t="s">
        <v>176</v>
      </c>
      <c r="C262" s="34">
        <f>+C261+C260</f>
        <v>17101.991715447464</v>
      </c>
    </row>
    <row r="263" spans="1:3" ht="12.75">
      <c r="A263" s="64"/>
      <c r="C263" s="34"/>
    </row>
    <row r="264" ht="12.75"/>
    <row r="265" spans="1:7" ht="12.75">
      <c r="A265" s="8" t="s">
        <v>437</v>
      </c>
      <c r="D265" s="143">
        <f>D208+D209</f>
        <v>13272.976367209245</v>
      </c>
      <c r="E265" s="143">
        <f>E208+E209</f>
        <v>10120.463578375162</v>
      </c>
      <c r="F265" s="143">
        <f>F208+F209</f>
        <v>156.31235155442792</v>
      </c>
      <c r="G265" s="143">
        <f>G208+G209</f>
        <v>0</v>
      </c>
    </row>
    <row r="266" ht="12.75"/>
    <row r="267" ht="12.75"/>
    <row r="268" ht="12.75"/>
    <row r="269" spans="1:12" ht="25.5">
      <c r="A269" s="136" t="s">
        <v>435</v>
      </c>
      <c r="B269" s="81"/>
      <c r="C269" s="81"/>
      <c r="D269" s="81"/>
      <c r="E269" s="81"/>
      <c r="F269" s="81"/>
      <c r="G269" s="81"/>
      <c r="H269" s="81"/>
      <c r="I269" s="81"/>
      <c r="J269" s="81"/>
      <c r="K269" s="81"/>
      <c r="L269" s="81"/>
    </row>
    <row r="270" spans="1:12" ht="12.75">
      <c r="A270" s="81"/>
      <c r="B270" s="81"/>
      <c r="C270" s="101" t="s">
        <v>436</v>
      </c>
      <c r="D270" s="81"/>
      <c r="E270" s="81"/>
      <c r="F270" s="81"/>
      <c r="G270" s="81"/>
      <c r="H270" s="81"/>
      <c r="I270" s="81"/>
      <c r="J270" s="81"/>
      <c r="K270" s="81"/>
      <c r="L270" s="81"/>
    </row>
    <row r="271" spans="1:12" ht="12.75">
      <c r="A271" s="101" t="s">
        <v>434</v>
      </c>
      <c r="B271" s="143">
        <f>+vpn</f>
        <v>20246.89769073261</v>
      </c>
      <c r="C271" s="72">
        <v>0.8</v>
      </c>
      <c r="D271" s="72">
        <v>0.825</v>
      </c>
      <c r="E271" s="72">
        <v>0.85</v>
      </c>
      <c r="F271" s="72">
        <v>0.875</v>
      </c>
      <c r="G271" s="72">
        <v>0.9</v>
      </c>
      <c r="H271" s="72">
        <v>0.925</v>
      </c>
      <c r="I271" s="72">
        <v>0.949999999999999</v>
      </c>
      <c r="J271" s="72">
        <v>0.974999999999998</v>
      </c>
      <c r="K271" s="72">
        <v>0.999999999999997</v>
      </c>
      <c r="L271" s="81"/>
    </row>
    <row r="272" spans="1:12" ht="12.75">
      <c r="A272" s="81"/>
      <c r="B272" s="126">
        <v>2.75</v>
      </c>
      <c r="C272" s="105">
        <f t="dataTable" ref="C272:K285" dt2D="1" dtr="1" r1="D56" r2="C34"/>
        <v>-61492.008279025154</v>
      </c>
      <c r="D272" s="105">
        <v>-60079.299137231326</v>
      </c>
      <c r="E272" s="105">
        <v>-58711.95182859933</v>
      </c>
      <c r="F272" s="105">
        <v>-57393.20047582728</v>
      </c>
      <c r="G272" s="105">
        <v>-56125.49790179362</v>
      </c>
      <c r="H272" s="105">
        <v>-54910.25978861931</v>
      </c>
      <c r="I272" s="105">
        <v>-53747.62101385324</v>
      </c>
      <c r="J272" s="105">
        <v>-52636.23586263263</v>
      </c>
      <c r="K272" s="105">
        <v>-51573.16323100504</v>
      </c>
      <c r="L272" s="81"/>
    </row>
    <row r="273" spans="1:12" ht="12.75">
      <c r="A273" s="81"/>
      <c r="B273" s="126">
        <v>3</v>
      </c>
      <c r="C273" s="105">
        <v>-58312.09388876616</v>
      </c>
      <c r="D273" s="105">
        <v>-56824.868821509095</v>
      </c>
      <c r="E273" s="105">
        <v>-55377.37034578905</v>
      </c>
      <c r="F273" s="105">
        <v>-53975.30215538604</v>
      </c>
      <c r="G273" s="105">
        <v>-52624.138194866464</v>
      </c>
      <c r="H273" s="105">
        <v>-51328.69856051536</v>
      </c>
      <c r="I273" s="105">
        <v>-50092.63131856404</v>
      </c>
      <c r="J273" s="105">
        <v>-48917.8398854583</v>
      </c>
      <c r="K273" s="105">
        <v>-47803.932213879874</v>
      </c>
      <c r="L273" s="81"/>
    </row>
    <row r="274" spans="1:12" ht="12.75">
      <c r="A274" s="81"/>
      <c r="B274" s="126">
        <v>3.25</v>
      </c>
      <c r="C274" s="105">
        <v>-52621.205651324126</v>
      </c>
      <c r="D274" s="105">
        <v>-51208.996258843756</v>
      </c>
      <c r="E274" s="105">
        <v>-49837.832094574085</v>
      </c>
      <c r="F274" s="105">
        <v>-48514.87562336674</v>
      </c>
      <c r="G274" s="105">
        <v>-47247.6670804374</v>
      </c>
      <c r="H274" s="105">
        <v>-46043.53941333095</v>
      </c>
      <c r="I274" s="105">
        <v>-44908.65039125583</v>
      </c>
      <c r="J274" s="105">
        <v>-43846.565526563805</v>
      </c>
      <c r="K274" s="105">
        <v>-42855.687275015145</v>
      </c>
      <c r="L274" s="81"/>
    </row>
    <row r="275" spans="1:12" ht="12.75">
      <c r="A275" s="81"/>
      <c r="B275" s="126">
        <v>3.5</v>
      </c>
      <c r="C275" s="105">
        <v>-43441.624318880364</v>
      </c>
      <c r="D275" s="105">
        <v>-41988.53874169402</v>
      </c>
      <c r="E275" s="105">
        <v>-40591.07658648411</v>
      </c>
      <c r="F275" s="105">
        <v>-39264.34682432166</v>
      </c>
      <c r="G275" s="105">
        <v>-38027.765172282314</v>
      </c>
      <c r="H275" s="105">
        <v>-36905.85179550617</v>
      </c>
      <c r="I275" s="105">
        <v>-35928.46746841742</v>
      </c>
      <c r="J275" s="105">
        <v>-35129.37065025206</v>
      </c>
      <c r="K275" s="105">
        <v>-34540.85752382179</v>
      </c>
      <c r="L275" s="81"/>
    </row>
    <row r="276" spans="1:12" ht="12.75">
      <c r="A276" s="81"/>
      <c r="B276" s="126">
        <v>3.75</v>
      </c>
      <c r="C276" s="105">
        <v>-31416.388720085233</v>
      </c>
      <c r="D276" s="105">
        <v>-29633.423096517123</v>
      </c>
      <c r="E276" s="105">
        <v>-27850.457472948925</v>
      </c>
      <c r="F276" s="105">
        <v>-26067.49184938082</v>
      </c>
      <c r="G276" s="105">
        <v>-24284.526225812715</v>
      </c>
      <c r="H276" s="105">
        <v>-22501.56060224453</v>
      </c>
      <c r="I276" s="105">
        <v>-20718.594978676534</v>
      </c>
      <c r="J276" s="105">
        <v>-19110.103923330094</v>
      </c>
      <c r="K276" s="105">
        <v>-17683.07676320153</v>
      </c>
      <c r="L276" s="81"/>
    </row>
    <row r="277" spans="1:12" ht="12.75">
      <c r="A277" s="81"/>
      <c r="B277" s="126">
        <v>4</v>
      </c>
      <c r="C277" s="105">
        <v>-20706.60090540478</v>
      </c>
      <c r="D277" s="105">
        <v>-18825.535018537812</v>
      </c>
      <c r="E277" s="105">
        <v>-16944.469131670834</v>
      </c>
      <c r="F277" s="105">
        <v>-15063.403244803816</v>
      </c>
      <c r="G277" s="105">
        <v>-13182.337357936798</v>
      </c>
      <c r="H277" s="105">
        <v>-11297.636131526877</v>
      </c>
      <c r="I277" s="105">
        <v>-9416.570244659975</v>
      </c>
      <c r="J277" s="105">
        <v>-7535.5043577930555</v>
      </c>
      <c r="K277" s="105">
        <v>-5654.438470926139</v>
      </c>
      <c r="L277" s="81"/>
    </row>
    <row r="278" spans="1:12" ht="12.75">
      <c r="A278" s="81"/>
      <c r="B278" s="126">
        <v>4.25</v>
      </c>
      <c r="C278" s="105">
        <v>-11830.801017140624</v>
      </c>
      <c r="D278" s="105">
        <v>-9852.673001339066</v>
      </c>
      <c r="E278" s="105">
        <v>-7874.54498553753</v>
      </c>
      <c r="F278" s="105">
        <v>-5896.41696973599</v>
      </c>
      <c r="G278" s="105">
        <v>-3918.2889539344615</v>
      </c>
      <c r="H278" s="105">
        <v>-1940.1609381329254</v>
      </c>
      <c r="I278" s="105">
        <v>-440.6012621060654</v>
      </c>
      <c r="J278" s="105">
        <v>-3.4631693722294585</v>
      </c>
      <c r="K278" s="105">
        <v>441.3977567581169</v>
      </c>
      <c r="L278" s="81"/>
    </row>
    <row r="279" spans="1:12" ht="12.75">
      <c r="A279" s="81"/>
      <c r="B279" s="126">
        <v>4.5</v>
      </c>
      <c r="C279" s="105">
        <v>-3395.454824619901</v>
      </c>
      <c r="D279" s="105">
        <v>-1319.216694703773</v>
      </c>
      <c r="E279" s="105">
        <v>652.4894025800568</v>
      </c>
      <c r="F279" s="105">
        <v>1754.4558678781468</v>
      </c>
      <c r="G279" s="105">
        <v>2854.8495225877778</v>
      </c>
      <c r="H279" s="105">
        <v>3952.2111831850525</v>
      </c>
      <c r="I279" s="105">
        <v>4893.565071837624</v>
      </c>
      <c r="J279" s="105">
        <v>5340.599996187149</v>
      </c>
      <c r="K279" s="105">
        <v>5797.475517989718</v>
      </c>
      <c r="L279" s="81"/>
    </row>
    <row r="280" spans="1:12" ht="12.75">
      <c r="A280" s="81"/>
      <c r="B280" s="126">
        <v>4.75</v>
      </c>
      <c r="C280" s="105">
        <v>3852.402029105302</v>
      </c>
      <c r="D280" s="105">
        <v>4277.941641169233</v>
      </c>
      <c r="E280" s="105">
        <v>4710.686880319561</v>
      </c>
      <c r="F280" s="105">
        <v>5158.979933891351</v>
      </c>
      <c r="G280" s="105">
        <v>5651.234424340117</v>
      </c>
      <c r="H280" s="105">
        <v>6147.750499194735</v>
      </c>
      <c r="I280" s="105">
        <v>6639.5643907242375</v>
      </c>
      <c r="J280" s="105">
        <v>7489.831398571732</v>
      </c>
      <c r="K280" s="105">
        <v>8389.019518321733</v>
      </c>
      <c r="L280" s="81"/>
    </row>
    <row r="281" spans="1:12" ht="12.75">
      <c r="A281" s="81"/>
      <c r="B281" s="126">
        <v>5</v>
      </c>
      <c r="C281" s="105">
        <v>5382.493857516602</v>
      </c>
      <c r="D281" s="105">
        <v>6329.405498879005</v>
      </c>
      <c r="E281" s="105">
        <v>7278.334095996375</v>
      </c>
      <c r="F281" s="105">
        <v>8230.152089009935</v>
      </c>
      <c r="G281" s="105">
        <v>9184.548919439967</v>
      </c>
      <c r="H281" s="105">
        <v>10142.577032907218</v>
      </c>
      <c r="I281" s="105">
        <v>11090.918785760288</v>
      </c>
      <c r="J281" s="105">
        <v>11978.958729709335</v>
      </c>
      <c r="K281" s="105">
        <v>12535.388528054678</v>
      </c>
      <c r="L281" s="81"/>
    </row>
    <row r="282" spans="1:12" ht="12.75">
      <c r="A282" s="81"/>
      <c r="B282" s="126">
        <v>5.25</v>
      </c>
      <c r="C282" s="105">
        <v>9482.888492838294</v>
      </c>
      <c r="D282" s="105">
        <v>10451.603285519002</v>
      </c>
      <c r="E282" s="105">
        <v>11423.791130352434</v>
      </c>
      <c r="F282" s="105">
        <v>12399.244191360885</v>
      </c>
      <c r="G282" s="105">
        <v>13379.180164072899</v>
      </c>
      <c r="H282" s="105">
        <v>14184.173969217103</v>
      </c>
      <c r="I282" s="105">
        <v>14794.961478208224</v>
      </c>
      <c r="J282" s="105">
        <v>15379.14113700877</v>
      </c>
      <c r="K282" s="105">
        <v>15952.431460323143</v>
      </c>
      <c r="L282" s="81"/>
    </row>
    <row r="283" spans="1:12" ht="12.75">
      <c r="A283" s="81"/>
      <c r="B283" s="126">
        <v>5.6</v>
      </c>
      <c r="C283" s="105">
        <v>15658.267222249251</v>
      </c>
      <c r="D283" s="105">
        <v>16708.37222862969</v>
      </c>
      <c r="E283" s="105">
        <v>17732.307041585773</v>
      </c>
      <c r="F283" s="105">
        <v>18363.098361709064</v>
      </c>
      <c r="G283" s="105">
        <v>18992.534031267918</v>
      </c>
      <c r="H283" s="105">
        <v>19620.50804342931</v>
      </c>
      <c r="I283" s="105">
        <v>20246.89769088755</v>
      </c>
      <c r="J283" s="105">
        <v>20871.56048958462</v>
      </c>
      <c r="K283" s="105">
        <v>21494.33037877182</v>
      </c>
      <c r="L283" s="81"/>
    </row>
    <row r="284" spans="1:12" ht="12.75">
      <c r="A284" s="81"/>
      <c r="B284" s="126">
        <v>5.75</v>
      </c>
      <c r="C284" s="105">
        <v>18484.456946343576</v>
      </c>
      <c r="D284" s="105">
        <v>19547.0494273294</v>
      </c>
      <c r="E284" s="105">
        <v>20192.25745909489</v>
      </c>
      <c r="F284" s="105">
        <v>20836.154515864124</v>
      </c>
      <c r="G284" s="105">
        <v>21478.63996573217</v>
      </c>
      <c r="H284" s="105">
        <v>22119.597553957043</v>
      </c>
      <c r="I284" s="105">
        <v>22758.892571371704</v>
      </c>
      <c r="J284" s="105">
        <v>23396.368367714917</v>
      </c>
      <c r="K284" s="105">
        <v>24031.84202665495</v>
      </c>
      <c r="L284" s="81"/>
    </row>
    <row r="285" spans="1:12" ht="12.75">
      <c r="A285" s="81"/>
      <c r="B285" s="126">
        <v>5.8</v>
      </c>
      <c r="C285" s="105">
        <v>19408.782127399434</v>
      </c>
      <c r="D285" s="105">
        <v>20360.060701757495</v>
      </c>
      <c r="E285" s="105">
        <v>21009.648179382115</v>
      </c>
      <c r="F285" s="105">
        <v>21657.908146413596</v>
      </c>
      <c r="G285" s="105">
        <v>22304.736964786276</v>
      </c>
      <c r="H285" s="105">
        <v>22950.014873367607</v>
      </c>
      <c r="I285" s="105">
        <v>23593.60304197001</v>
      </c>
      <c r="J285" s="105">
        <v>24235.339939130623</v>
      </c>
      <c r="K285" s="105">
        <v>24875.036820274658</v>
      </c>
      <c r="L285" s="81"/>
    </row>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sheetData>
  <sheetProtection/>
  <hyperlinks>
    <hyperlink ref="A4" location="MENU!A1" display="MENU"/>
  </hyperlinks>
  <printOptions/>
  <pageMargins left="0.75" right="0.75" top="1" bottom="1" header="0" footer="0"/>
  <pageSetup horizontalDpi="360" verticalDpi="360" orientation="landscape" r:id="rId3"/>
  <legacyDrawing r:id="rId2"/>
</worksheet>
</file>

<file path=xl/worksheets/sheet6.xml><?xml version="1.0" encoding="utf-8"?>
<worksheet xmlns="http://schemas.openxmlformats.org/spreadsheetml/2006/main" xmlns:r="http://schemas.openxmlformats.org/officeDocument/2006/relationships">
  <sheetPr codeName="Hoja9"/>
  <dimension ref="A1:I286"/>
  <sheetViews>
    <sheetView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A10" sqref="A10"/>
    </sheetView>
  </sheetViews>
  <sheetFormatPr defaultColWidth="11.421875" defaultRowHeight="12.75"/>
  <cols>
    <col min="1" max="1" width="52.7109375" style="172" customWidth="1"/>
    <col min="2" max="2" width="11.421875" style="172" customWidth="1"/>
    <col min="3" max="3" width="12.421875" style="184" customWidth="1"/>
    <col min="4" max="7" width="15.8515625" style="184" bestFit="1" customWidth="1"/>
    <col min="8" max="8" width="13.7109375" style="172" bestFit="1" customWidth="1"/>
    <col min="9" max="16384" width="11.421875" style="172" customWidth="1"/>
  </cols>
  <sheetData>
    <row r="1" spans="1:8" s="9" customFormat="1" ht="12.75">
      <c r="A1" s="147" t="s">
        <v>328</v>
      </c>
      <c r="B1" s="7"/>
      <c r="C1" s="199" t="s">
        <v>7</v>
      </c>
      <c r="D1" s="199" t="s">
        <v>8</v>
      </c>
      <c r="E1" s="199" t="s">
        <v>9</v>
      </c>
      <c r="F1" s="199" t="s">
        <v>10</v>
      </c>
      <c r="G1" s="199" t="s">
        <v>11</v>
      </c>
      <c r="H1" s="8"/>
    </row>
    <row r="3" spans="1:7" s="9" customFormat="1" ht="12.75">
      <c r="A3" s="64"/>
      <c r="C3" s="106">
        <f>FLUJO_DE_CAJA_PROYECTO!C7</f>
        <v>0</v>
      </c>
      <c r="D3" s="106">
        <f>FLUJO_DE_CAJA_PROYECTO!D7</f>
        <v>0.375</v>
      </c>
      <c r="E3" s="106">
        <f>FLUJO_DE_CAJA_PROYECTO!E7</f>
        <v>0.375</v>
      </c>
      <c r="F3" s="106">
        <f>FLUJO_DE_CAJA_PROYECTO!F7</f>
        <v>0.375</v>
      </c>
      <c r="G3" s="106">
        <f>FLUJO_DE_CAJA_PROYECTO!G7</f>
        <v>0.375</v>
      </c>
    </row>
    <row r="4" spans="1:7" s="9" customFormat="1" ht="12.75">
      <c r="A4" s="32" t="s">
        <v>323</v>
      </c>
      <c r="B4" s="8"/>
      <c r="C4" s="8"/>
      <c r="D4" s="8"/>
      <c r="E4" s="8"/>
      <c r="F4" s="8"/>
      <c r="G4" s="8"/>
    </row>
    <row r="5" spans="1:7" s="9" customFormat="1" ht="12.75">
      <c r="A5" s="32"/>
      <c r="C5" s="33"/>
      <c r="D5" s="33"/>
      <c r="E5" s="33"/>
      <c r="F5" s="33"/>
      <c r="G5" s="33"/>
    </row>
    <row r="6" spans="1:7" s="9" customFormat="1" ht="12.75">
      <c r="A6" s="32" t="s">
        <v>482</v>
      </c>
      <c r="C6" s="33"/>
      <c r="D6" s="8"/>
      <c r="E6" s="8"/>
      <c r="F6" s="8"/>
      <c r="G6" s="8"/>
    </row>
    <row r="7" spans="1:7" s="9" customFormat="1" ht="12.75">
      <c r="A7" s="32" t="str">
        <f>FLUJO_DE_CAJA_PROYECTO!A139</f>
        <v>UTILIDAD OPERACIONAL</v>
      </c>
      <c r="B7" s="64"/>
      <c r="C7" s="32"/>
      <c r="D7" s="102">
        <f>FLUJO_DE_CAJA_PROYECTO!D139</f>
        <v>6592.863417347893</v>
      </c>
      <c r="E7" s="102">
        <f>FLUJO_DE_CAJA_PROYECTO!E139</f>
        <v>12556.628939579048</v>
      </c>
      <c r="F7" s="102">
        <f>FLUJO_DE_CAJA_PROYECTO!F139</f>
        <v>20523.615694507895</v>
      </c>
      <c r="G7" s="102">
        <f>FLUJO_DE_CAJA_PROYECTO!G139</f>
        <v>29279.107855154893</v>
      </c>
    </row>
    <row r="8" spans="1:7" s="9" customFormat="1" ht="12.75">
      <c r="A8" s="178" t="s">
        <v>383</v>
      </c>
      <c r="B8" s="64"/>
      <c r="C8" s="32"/>
      <c r="D8" s="191">
        <f>D7</f>
        <v>6592.863417347893</v>
      </c>
      <c r="E8" s="191">
        <f>E7</f>
        <v>12556.628939579048</v>
      </c>
      <c r="F8" s="191">
        <f>F7</f>
        <v>20523.615694507895</v>
      </c>
      <c r="G8" s="191">
        <f>G7</f>
        <v>29279.107855154893</v>
      </c>
    </row>
    <row r="9" spans="1:7" s="9" customFormat="1" ht="12.75">
      <c r="A9" s="32" t="str">
        <f>FLUJO_DE_CAJA_PROYECTO!A140</f>
        <v>OTROS INGRESOS</v>
      </c>
      <c r="B9" s="64"/>
      <c r="C9" s="32"/>
      <c r="D9" s="102">
        <f>FLUJO_DE_CAJA_PROYECTO!D140</f>
        <v>0</v>
      </c>
      <c r="E9" s="102">
        <f>FLUJO_DE_CAJA_PROYECTO!E140</f>
        <v>0</v>
      </c>
      <c r="F9" s="102">
        <f>FLUJO_DE_CAJA_PROYECTO!F140</f>
        <v>2485.3930469290935</v>
      </c>
      <c r="G9" s="102">
        <f>FLUJO_DE_CAJA_PROYECTO!G140</f>
        <v>9044.93400879427</v>
      </c>
    </row>
    <row r="10" spans="1:7" s="9" customFormat="1" ht="12.75">
      <c r="A10" s="32" t="str">
        <f>FLUJO_DE_CAJA_PROYECTO!A141</f>
        <v>GASTOS FINANCIEROS</v>
      </c>
      <c r="B10" s="64"/>
      <c r="C10" s="32"/>
      <c r="D10" s="102">
        <f>FLUJO_DE_CAJA_PROYECTO!D141</f>
        <v>4999.522572557812</v>
      </c>
      <c r="E10" s="102">
        <f>FLUJO_DE_CAJA_PROYECTO!E141</f>
        <v>2404.91737299495</v>
      </c>
      <c r="F10" s="102">
        <f>FLUJO_DE_CAJA_PROYECTO!F141</f>
        <v>35.31235155471003</v>
      </c>
      <c r="G10" s="102">
        <f>FLUJO_DE_CAJA_PROYECTO!G141</f>
        <v>0</v>
      </c>
    </row>
    <row r="11" spans="1:7" s="9" customFormat="1" ht="12.75">
      <c r="A11" s="32" t="str">
        <f>FLUJO_DE_CAJA_PROYECTO!A143</f>
        <v>UTILIDAD ANTES DE IMPUESTOS</v>
      </c>
      <c r="B11" s="64"/>
      <c r="C11" s="32"/>
      <c r="D11" s="102">
        <f>D8-D10+D9</f>
        <v>1593.340844790081</v>
      </c>
      <c r="E11" s="102">
        <f>E8-E10+E9</f>
        <v>10151.711566584097</v>
      </c>
      <c r="F11" s="102">
        <f>F8-F10+F9</f>
        <v>22973.69638988228</v>
      </c>
      <c r="G11" s="102">
        <f>G8-G10+G9</f>
        <v>38324.04186394916</v>
      </c>
    </row>
    <row r="12" spans="1:7" s="9" customFormat="1" ht="12.75">
      <c r="A12" s="32" t="str">
        <f>FLUJO_DE_CAJA_PROYECTO!A144</f>
        <v>PROVISION PARA IMPUESTOS</v>
      </c>
      <c r="B12" s="64"/>
      <c r="C12" s="32"/>
      <c r="D12" s="102">
        <f>D11*FLUJO_DE_CAJA_PROYECTO!D7</f>
        <v>597.5028167962804</v>
      </c>
      <c r="E12" s="102">
        <f>E11*FLUJO_DE_CAJA_PROYECTO!E7</f>
        <v>3806.8918374690365</v>
      </c>
      <c r="F12" s="102">
        <f>F11*FLUJO_DE_CAJA_PROYECTO!F7</f>
        <v>8615.136146205856</v>
      </c>
      <c r="G12" s="102">
        <f>G11*FLUJO_DE_CAJA_PROYECTO!G7</f>
        <v>14371.515698980937</v>
      </c>
    </row>
    <row r="13" spans="1:7" s="9" customFormat="1" ht="12.75">
      <c r="A13" s="178" t="str">
        <f>FLUJO_DE_CAJA_PROYECTO!A145</f>
        <v>UTILIDAD NETA</v>
      </c>
      <c r="B13" s="64"/>
      <c r="C13" s="32"/>
      <c r="D13" s="191">
        <f>D11-D12</f>
        <v>995.8380279938007</v>
      </c>
      <c r="E13" s="191">
        <f>E11-E12</f>
        <v>6344.819729115061</v>
      </c>
      <c r="F13" s="191">
        <f>F11-F12</f>
        <v>14358.560243676424</v>
      </c>
      <c r="G13" s="191">
        <f>G11-G12</f>
        <v>23952.526164968225</v>
      </c>
    </row>
    <row r="14" spans="1:7" s="9" customFormat="1" ht="12.75">
      <c r="A14" s="8"/>
      <c r="C14" s="33"/>
      <c r="D14" s="143"/>
      <c r="E14" s="143"/>
      <c r="F14" s="143"/>
      <c r="G14" s="143"/>
    </row>
    <row r="15" spans="1:7" s="9" customFormat="1" ht="12.75">
      <c r="A15" s="32" t="s">
        <v>323</v>
      </c>
      <c r="C15" s="33"/>
      <c r="D15" s="8"/>
      <c r="E15" s="8"/>
      <c r="F15" s="8"/>
      <c r="G15" s="8"/>
    </row>
    <row r="16" spans="1:7" s="9" customFormat="1" ht="12.75">
      <c r="A16" s="32" t="s">
        <v>199</v>
      </c>
      <c r="C16" s="33"/>
      <c r="D16" s="8"/>
      <c r="E16" s="8"/>
      <c r="F16" s="8"/>
      <c r="G16" s="8"/>
    </row>
    <row r="17" spans="1:7" s="9" customFormat="1" ht="12.75">
      <c r="A17" s="178" t="s">
        <v>406</v>
      </c>
      <c r="C17" s="33"/>
      <c r="D17" s="8"/>
      <c r="E17" s="8"/>
      <c r="F17" s="8"/>
      <c r="G17" s="8"/>
    </row>
    <row r="18" spans="1:7" s="9" customFormat="1" ht="12.75">
      <c r="A18" s="178" t="s">
        <v>484</v>
      </c>
      <c r="C18" s="33"/>
      <c r="D18" s="8"/>
      <c r="E18" s="8"/>
      <c r="F18" s="8"/>
      <c r="G18" s="8"/>
    </row>
    <row r="19" spans="1:7" s="9" customFormat="1" ht="12.75">
      <c r="A19" s="32" t="s">
        <v>458</v>
      </c>
      <c r="C19" s="8">
        <f>FLUJO_DE_CAJA_PROYECTO!C91</f>
        <v>110</v>
      </c>
      <c r="D19" s="102">
        <f>FLUJO_DE_CAJA_PROYECTO!D91</f>
        <v>110</v>
      </c>
      <c r="E19" s="102">
        <f>FLUJO_DE_CAJA_PROYECTO!E91</f>
        <v>121</v>
      </c>
      <c r="F19" s="102">
        <f>FLUJO_DE_CAJA_PROYECTO!F91</f>
        <v>150</v>
      </c>
      <c r="G19" s="102">
        <f>FLUJO_DE_CAJA_PROYECTO!G91</f>
        <v>150</v>
      </c>
    </row>
    <row r="20" spans="1:7" s="9" customFormat="1" ht="12.75">
      <c r="A20" s="32" t="s">
        <v>78</v>
      </c>
      <c r="C20" s="32">
        <f>FLUJO_DE_CAJA_PROYECTO!C92</f>
        <v>0</v>
      </c>
      <c r="D20" s="102">
        <f>FLUJO_DE_CAJA_PROYECTO!D92</f>
        <v>2525.903977540962</v>
      </c>
      <c r="E20" s="102">
        <f>FLUJO_DE_CAJA_PROYECTO!E92</f>
        <v>3358.2909903739564</v>
      </c>
      <c r="F20" s="102">
        <f>FLUJO_DE_CAJA_PROYECTO!F92</f>
        <v>4310.994347787811</v>
      </c>
      <c r="G20" s="102">
        <f>FLUJO_DE_CAJA_PROYECTO!G92</f>
        <v>5408.409173630062</v>
      </c>
    </row>
    <row r="21" spans="1:7" s="9" customFormat="1" ht="12.75">
      <c r="A21" s="32" t="s">
        <v>79</v>
      </c>
      <c r="C21" s="32">
        <f>FLUJO_DE_CAJA_PROYECTO!C93</f>
        <v>0</v>
      </c>
      <c r="D21" s="102">
        <f>FLUJO_DE_CAJA_PROYECTO!D93</f>
        <v>2052.3390950842363</v>
      </c>
      <c r="E21" s="102">
        <f>FLUJO_DE_CAJA_PROYECTO!E93</f>
        <v>2735.33753020669</v>
      </c>
      <c r="F21" s="102">
        <f>FLUJO_DE_CAJA_PROYECTO!F93</f>
        <v>3370.6327057402664</v>
      </c>
      <c r="G21" s="102">
        <f>FLUJO_DE_CAJA_PROYECTO!G93</f>
        <v>4140.083186042437</v>
      </c>
    </row>
    <row r="22" spans="1:7" s="9" customFormat="1" ht="12.75">
      <c r="A22" s="32" t="s">
        <v>80</v>
      </c>
      <c r="C22" s="32">
        <f>FLUJO_DE_CAJA_PROYECTO!C94</f>
        <v>0</v>
      </c>
      <c r="D22" s="102">
        <f>FLUJO_DE_CAJA_PROYECTO!D94</f>
        <v>0</v>
      </c>
      <c r="E22" s="102">
        <f>FLUJO_DE_CAJA_PROYECTO!E94</f>
        <v>8794.738310821078</v>
      </c>
      <c r="F22" s="102">
        <f>FLUJO_DE_CAJA_PROYECTO!F94</f>
        <v>33253.43385301478</v>
      </c>
      <c r="G22" s="102">
        <f>FLUJO_DE_CAJA_PROYECTO!G94</f>
        <v>65919.93932377815</v>
      </c>
    </row>
    <row r="23" spans="1:7" s="9" customFormat="1" ht="12.75">
      <c r="A23" s="178" t="s">
        <v>459</v>
      </c>
      <c r="C23" s="102">
        <f>SUM(C19:C22)</f>
        <v>110</v>
      </c>
      <c r="D23" s="102">
        <f>SUM(D19:D22)</f>
        <v>4688.243072625199</v>
      </c>
      <c r="E23" s="102">
        <f>SUM(E19:E22)</f>
        <v>15009.366831401725</v>
      </c>
      <c r="F23" s="102">
        <f>SUM(F19:F22)</f>
        <v>41085.06090654286</v>
      </c>
      <c r="G23" s="102">
        <f>SUM(G19:G22)</f>
        <v>75618.43168345065</v>
      </c>
    </row>
    <row r="24" ht="12.75">
      <c r="A24" s="179"/>
    </row>
    <row r="25" spans="1:7" s="9" customFormat="1" ht="12.75">
      <c r="A25" s="32" t="s">
        <v>86</v>
      </c>
      <c r="C25" s="32">
        <f>FLUJO_DE_CAJA_PROYECTO!C104</f>
        <v>0</v>
      </c>
      <c r="D25" s="102">
        <f>FLUJO_DE_CAJA_PROYECTO!D104</f>
        <v>2668.0408236095063</v>
      </c>
      <c r="E25" s="102">
        <f>FLUJO_DE_CAJA_PROYECTO!E104</f>
        <v>3298.769295645663</v>
      </c>
      <c r="F25" s="102">
        <f>FLUJO_DE_CAJA_PROYECTO!F104</f>
        <v>4058.8560652416927</v>
      </c>
      <c r="G25" s="102">
        <f>FLUJO_DE_CAJA_PROYECTO!G104</f>
        <v>4982.805346594774</v>
      </c>
    </row>
    <row r="26" spans="1:7" s="9" customFormat="1" ht="12.75">
      <c r="A26" s="32" t="s">
        <v>87</v>
      </c>
      <c r="C26" s="32">
        <f>FLUJO_DE_CAJA_PROYECTO!C105</f>
        <v>0</v>
      </c>
      <c r="D26" s="102">
        <f>FLUJO_DE_CAJA_PROYECTO!D105</f>
        <v>214.01999999999998</v>
      </c>
      <c r="E26" s="102">
        <f>FLUJO_DE_CAJA_PROYECTO!E105</f>
        <v>265.3847999999998</v>
      </c>
      <c r="F26" s="102">
        <f>FLUJO_DE_CAJA_PROYECTO!F105</f>
        <v>326.4233039999999</v>
      </c>
      <c r="G26" s="102">
        <f>FLUJO_DE_CAJA_PROYECTO!G105</f>
        <v>401.5006639200001</v>
      </c>
    </row>
    <row r="27" spans="1:7" s="9" customFormat="1" ht="12.75">
      <c r="A27" s="32" t="s">
        <v>88</v>
      </c>
      <c r="C27" s="32">
        <f>FLUJO_DE_CAJA_PROYECTO!C106</f>
        <v>0</v>
      </c>
      <c r="D27" s="102">
        <f>FLUJO_DE_CAJA_PROYECTO!D106</f>
        <v>376.29519887704805</v>
      </c>
      <c r="E27" s="102">
        <f>FLUJO_DE_CAJA_PROYECTO!E106</f>
        <v>475.4145495186975</v>
      </c>
      <c r="F27" s="102">
        <f>FLUJO_DE_CAJA_PROYECTO!F106</f>
        <v>587.6247173893905</v>
      </c>
      <c r="G27" s="102">
        <f>FLUJO_DE_CAJA_PROYECTO!G106</f>
        <v>720.6312086815024</v>
      </c>
    </row>
    <row r="28" spans="1:7" s="9" customFormat="1" ht="12.75">
      <c r="A28" s="32" t="s">
        <v>284</v>
      </c>
      <c r="C28" s="32">
        <f>FLUJO_DE_CAJA_PROYECTO!C107</f>
        <v>0</v>
      </c>
      <c r="D28" s="102">
        <f>FLUJO_DE_CAJA_PROYECTO!D107</f>
        <v>0</v>
      </c>
      <c r="E28" s="102">
        <f>FLUJO_DE_CAJA_PROYECTO!E107</f>
        <v>0</v>
      </c>
      <c r="F28" s="102">
        <f>FLUJO_DE_CAJA_PROYECTO!F107</f>
        <v>0</v>
      </c>
      <c r="G28" s="102">
        <f>FLUJO_DE_CAJA_PROYECTO!G107</f>
        <v>0</v>
      </c>
    </row>
    <row r="29" spans="1:7" s="9" customFormat="1" ht="12.75">
      <c r="A29" s="32" t="s">
        <v>89</v>
      </c>
      <c r="C29" s="32">
        <f>FLUJO_DE_CAJA_PROYECTO!C108</f>
        <v>0</v>
      </c>
      <c r="D29" s="102">
        <f>FLUJO_DE_CAJA_PROYECTO!D108</f>
        <v>597.5028168398287</v>
      </c>
      <c r="E29" s="102">
        <f>FLUJO_DE_CAJA_PROYECTO!E108</f>
        <v>3806.8918374715895</v>
      </c>
      <c r="F29" s="102">
        <f>FLUJO_DE_CAJA_PROYECTO!F108</f>
        <v>8615.1361464044</v>
      </c>
      <c r="G29" s="102">
        <f>FLUJO_DE_CAJA_PROYECTO!G108</f>
        <v>14371.515703352268</v>
      </c>
    </row>
    <row r="30" spans="1:7" s="9" customFormat="1" ht="12.75">
      <c r="A30" s="178" t="s">
        <v>460</v>
      </c>
      <c r="C30" s="102">
        <f>SUM(C25:C29)</f>
        <v>0</v>
      </c>
      <c r="D30" s="102">
        <f>SUM(D25:D29)</f>
        <v>3855.8588393263826</v>
      </c>
      <c r="E30" s="102">
        <f>SUM(E25:E29)</f>
        <v>7846.46048263595</v>
      </c>
      <c r="F30" s="102">
        <f>SUM(F25:F29)</f>
        <v>13588.040233035485</v>
      </c>
      <c r="G30" s="102">
        <f>SUM(G25:G29)</f>
        <v>20476.452922548546</v>
      </c>
    </row>
    <row r="31" spans="1:7" s="9" customFormat="1" ht="12.75">
      <c r="A31" s="178" t="s">
        <v>467</v>
      </c>
      <c r="C31" s="102">
        <f>C23-C30</f>
        <v>110</v>
      </c>
      <c r="D31" s="102">
        <f>D23-D30</f>
        <v>832.3842332988161</v>
      </c>
      <c r="E31" s="102">
        <f>E23-E30</f>
        <v>7162.906348765775</v>
      </c>
      <c r="F31" s="102">
        <f>F23-F30</f>
        <v>27497.020673507373</v>
      </c>
      <c r="G31" s="102">
        <f>G23-G30</f>
        <v>55141.9787609021</v>
      </c>
    </row>
    <row r="32" spans="1:7" s="9" customFormat="1" ht="12.75">
      <c r="A32" s="178" t="s">
        <v>188</v>
      </c>
      <c r="C32" s="192">
        <f>C31-B31</f>
        <v>110</v>
      </c>
      <c r="D32" s="192">
        <f>D31-C31</f>
        <v>722.3842332988161</v>
      </c>
      <c r="E32" s="192">
        <f>E31-D31</f>
        <v>6330.522115466959</v>
      </c>
      <c r="F32" s="192">
        <f>F31-E31</f>
        <v>20334.114324741597</v>
      </c>
      <c r="G32" s="192">
        <f>G31-F31</f>
        <v>27644.958087394727</v>
      </c>
    </row>
    <row r="33" spans="1:7" s="9" customFormat="1" ht="12.75" hidden="1">
      <c r="A33" s="32" t="s">
        <v>233</v>
      </c>
      <c r="C33" s="33"/>
      <c r="D33" s="102">
        <f>IF(FLUJO_DE_CAJA_PROYECTO!D143&gt;=0,FLUJO_DE_CAJA_PROYECTO!D209*FLUJO_DE_CAJA_PROYECTO!D7,0)</f>
        <v>1874.8209647091794</v>
      </c>
      <c r="E33" s="102">
        <f>IF(FLUJO_DE_CAJA_PROYECTO!E143&gt;=0,FLUJO_DE_CAJA_PROYECTO!E209*FLUJO_DE_CAJA_PROYECTO!E7,0)</f>
        <v>901.8440148731062</v>
      </c>
      <c r="F33" s="102">
        <f>IF(FLUJO_DE_CAJA_PROYECTO!F143&gt;=0,FLUJO_DE_CAJA_PROYECTO!F209*FLUJO_DE_CAJA_PROYECTO!F7,0)</f>
        <v>13.24213183301626</v>
      </c>
      <c r="G33" s="102">
        <f>IF(FLUJO_DE_CAJA_PROYECTO!G143&gt;=0,FLUJO_DE_CAJA_PROYECTO!G209*FLUJO_DE_CAJA_PROYECTO!G7,0)</f>
        <v>0</v>
      </c>
    </row>
    <row r="34" spans="1:7" s="9" customFormat="1" ht="12.75" hidden="1">
      <c r="A34" s="178" t="s">
        <v>478</v>
      </c>
      <c r="C34" s="33"/>
      <c r="D34" s="102"/>
      <c r="E34" s="102"/>
      <c r="F34" s="102"/>
      <c r="G34" s="102"/>
    </row>
    <row r="35" spans="1:7" s="9" customFormat="1" ht="12.75" hidden="1">
      <c r="A35" s="32" t="s">
        <v>235</v>
      </c>
      <c r="C35" s="192">
        <f>+FLUJO_DE_CAJA_PROYECTO!C145</f>
        <v>0</v>
      </c>
      <c r="D35" s="192">
        <f>+FLUJO_DE_CAJA_PROYECTO!D145</f>
        <v>995.8380279938007</v>
      </c>
      <c r="E35" s="192">
        <f>+FLUJO_DE_CAJA_PROYECTO!E145</f>
        <v>6344.819729115061</v>
      </c>
      <c r="F35" s="192">
        <f>+FLUJO_DE_CAJA_PROYECTO!F145</f>
        <v>14358.560243676424</v>
      </c>
      <c r="G35" s="192">
        <f>+FLUJO_DE_CAJA_PROYECTO!G145</f>
        <v>23952.526164968225</v>
      </c>
    </row>
    <row r="36" spans="1:7" s="9" customFormat="1" ht="12.75" hidden="1">
      <c r="A36" s="32" t="s">
        <v>236</v>
      </c>
      <c r="C36" s="192">
        <f>+FLUJO_DE_CAJA_PROYECTO!C136</f>
        <v>0</v>
      </c>
      <c r="D36" s="192">
        <f>+FLUJO_DE_CAJA_PROYECTO!D136</f>
        <v>8000</v>
      </c>
      <c r="E36" s="192">
        <f>+FLUJO_DE_CAJA_PROYECTO!E136</f>
        <v>8000</v>
      </c>
      <c r="F36" s="192">
        <f>+FLUJO_DE_CAJA_PROYECTO!F136</f>
        <v>8000</v>
      </c>
      <c r="G36" s="192">
        <f>+FLUJO_DE_CAJA_PROYECTO!G136</f>
        <v>8000</v>
      </c>
    </row>
    <row r="37" spans="1:7" s="9" customFormat="1" ht="12.75" hidden="1">
      <c r="A37" s="32" t="s">
        <v>237</v>
      </c>
      <c r="C37" s="192">
        <f>+FLUJO_DE_CAJA_PROYECTO!C141</f>
        <v>0</v>
      </c>
      <c r="D37" s="192">
        <f>+FLUJO_DE_CAJA_PROYECTO!D141</f>
        <v>4999.522572557812</v>
      </c>
      <c r="E37" s="192">
        <f>+FLUJO_DE_CAJA_PROYECTO!E141</f>
        <v>2404.91737299495</v>
      </c>
      <c r="F37" s="192">
        <f>+FLUJO_DE_CAJA_PROYECTO!F141</f>
        <v>35.31235155471003</v>
      </c>
      <c r="G37" s="192">
        <f>+FLUJO_DE_CAJA_PROYECTO!G141</f>
        <v>0</v>
      </c>
    </row>
    <row r="38" spans="1:7" s="9" customFormat="1" ht="12.75" hidden="1">
      <c r="A38" s="32" t="s">
        <v>238</v>
      </c>
      <c r="C38" s="192">
        <f>FLUJO_DE_CAJA_PROYECTO!C210</f>
        <v>0</v>
      </c>
      <c r="D38" s="192">
        <f>FLUJO_DE_CAJA_PROYECTO!D210</f>
        <v>0</v>
      </c>
      <c r="E38" s="192">
        <f>FLUJO_DE_CAJA_PROYECTO!E210</f>
        <v>-1874.8209647091794</v>
      </c>
      <c r="F38" s="192">
        <f>FLUJO_DE_CAJA_PROYECTO!F210</f>
        <v>-901.8440148731062</v>
      </c>
      <c r="G38" s="192">
        <f>FLUJO_DE_CAJA_PROYECTO!G210</f>
        <v>-13.24213183301626</v>
      </c>
    </row>
    <row r="39" spans="1:7" s="9" customFormat="1" ht="12.75" hidden="1">
      <c r="A39" s="32" t="str">
        <f>+A32</f>
        <v>aumento en "cap tr"</v>
      </c>
      <c r="C39" s="192">
        <f>-C32</f>
        <v>-110</v>
      </c>
      <c r="D39" s="192">
        <f>-D32</f>
        <v>-722.3842332988161</v>
      </c>
      <c r="E39" s="192">
        <f>-E32</f>
        <v>-6330.522115466959</v>
      </c>
      <c r="F39" s="192">
        <f>-F32</f>
        <v>-20334.114324741597</v>
      </c>
      <c r="G39" s="192">
        <f>-G32</f>
        <v>-27644.958087394727</v>
      </c>
    </row>
    <row r="40" spans="1:7" s="9" customFormat="1" ht="12.75" hidden="1">
      <c r="A40" s="32" t="s">
        <v>493</v>
      </c>
      <c r="C40" s="192">
        <f>-FLUJO_DE_CAJA_PROYECTO!C96</f>
        <v>-40000</v>
      </c>
      <c r="D40" s="192"/>
      <c r="E40" s="192"/>
      <c r="F40" s="192"/>
      <c r="G40" s="192"/>
    </row>
    <row r="41" spans="1:7" s="9" customFormat="1" ht="12.75" hidden="1">
      <c r="A41" s="32" t="s">
        <v>485</v>
      </c>
      <c r="C41" s="192">
        <f>SUM(C35:C40)</f>
        <v>-40110</v>
      </c>
      <c r="D41" s="192">
        <f>SUM(D35:D40)</f>
        <v>13272.976367252795</v>
      </c>
      <c r="E41" s="192">
        <f>SUM(E35:E40)</f>
        <v>8544.394021933873</v>
      </c>
      <c r="F41" s="192">
        <f>SUM(F35:F40)</f>
        <v>1157.9142556164297</v>
      </c>
      <c r="G41" s="192">
        <f>SUM(G35:G40)</f>
        <v>4294.325945740482</v>
      </c>
    </row>
    <row r="42" spans="1:7" s="9" customFormat="1" ht="12.75" hidden="1">
      <c r="A42" s="32" t="str">
        <f>FLUJO_DE_CAJA_PROYECTO!A216</f>
        <v>FLUJO DE CAJA SIN VALOR TERMINAL</v>
      </c>
      <c r="C42" s="192">
        <f>FLUJO_DE_CAJA_PROYECTO!C216</f>
        <v>-40110</v>
      </c>
      <c r="D42" s="192">
        <f>FLUJO_DE_CAJA_PROYECTO!D216</f>
        <v>13272.976367209245</v>
      </c>
      <c r="E42" s="192">
        <f>FLUJO_DE_CAJA_PROYECTO!E216</f>
        <v>8544.39402203248</v>
      </c>
      <c r="F42" s="192">
        <f>FLUJO_DE_CAJA_PROYECTO!F216</f>
        <v>1157.9142554161222</v>
      </c>
      <c r="G42" s="192">
        <f>FLUJO_DE_CAJA_PROYECTO!G216</f>
        <v>4294.325941269911</v>
      </c>
    </row>
    <row r="43" spans="1:7" s="9" customFormat="1" ht="12.75" hidden="1">
      <c r="A43" s="32" t="s">
        <v>242</v>
      </c>
      <c r="C43" s="192"/>
      <c r="D43" s="192"/>
      <c r="E43" s="192"/>
      <c r="F43" s="192"/>
      <c r="G43" s="192">
        <f>FLUJO_DE_CAJA_PROYECTO!G227</f>
        <v>118088.094913637</v>
      </c>
    </row>
    <row r="44" spans="1:7" s="9" customFormat="1" ht="12.75" hidden="1">
      <c r="A44" s="32" t="s">
        <v>483</v>
      </c>
      <c r="C44" s="192">
        <f>C43+C42</f>
        <v>-40110</v>
      </c>
      <c r="D44" s="192">
        <f>D43+D42</f>
        <v>13272.976367209245</v>
      </c>
      <c r="E44" s="192">
        <f>E43+E42</f>
        <v>8544.39402203248</v>
      </c>
      <c r="F44" s="192">
        <f>F43+F42</f>
        <v>1157.9142554161222</v>
      </c>
      <c r="G44" s="192">
        <f>G43+G42</f>
        <v>122382.42085490692</v>
      </c>
    </row>
    <row r="45" spans="1:7" s="9" customFormat="1" ht="12.75" hidden="1">
      <c r="A45" s="160" t="s">
        <v>413</v>
      </c>
      <c r="B45" s="161"/>
      <c r="C45" s="193">
        <f>C44-FLUJO_DE_CAJA_PROYECTO!C230</f>
        <v>0</v>
      </c>
      <c r="D45" s="193">
        <f>D44-FLUJO_DE_CAJA_PROYECTO!D230</f>
        <v>0</v>
      </c>
      <c r="E45" s="193">
        <f>E44-FLUJO_DE_CAJA_PROYECTO!E230</f>
        <v>0</v>
      </c>
      <c r="F45" s="193">
        <f>F44-FLUJO_DE_CAJA_PROYECTO!F230</f>
        <v>0</v>
      </c>
      <c r="G45" s="193">
        <f>G44-FLUJO_DE_CAJA_PROYECTO!G230</f>
        <v>0</v>
      </c>
    </row>
    <row r="46" spans="1:7" s="9" customFormat="1" ht="12.75" hidden="1">
      <c r="A46" s="148" t="s">
        <v>414</v>
      </c>
      <c r="C46" s="8"/>
      <c r="D46" s="8"/>
      <c r="E46" s="33">
        <f>E45/2</f>
        <v>0</v>
      </c>
      <c r="F46" s="33">
        <f>F45/2</f>
        <v>0</v>
      </c>
      <c r="G46" s="33">
        <f>G45/2</f>
        <v>0</v>
      </c>
    </row>
    <row r="47" spans="1:7" s="9" customFormat="1" ht="12.75" hidden="1">
      <c r="A47" s="148"/>
      <c r="C47" s="8"/>
      <c r="D47" s="8"/>
      <c r="E47" s="33"/>
      <c r="F47" s="33"/>
      <c r="G47" s="33"/>
    </row>
    <row r="48" spans="1:7" s="9" customFormat="1" ht="12.75" hidden="1">
      <c r="A48" s="180" t="s">
        <v>479</v>
      </c>
      <c r="C48" s="33"/>
      <c r="D48" s="33"/>
      <c r="E48" s="33"/>
      <c r="F48" s="33"/>
      <c r="G48" s="33"/>
    </row>
    <row r="49" spans="1:7" s="9" customFormat="1" ht="12.75" hidden="1">
      <c r="A49" s="32" t="s">
        <v>235</v>
      </c>
      <c r="C49" s="33">
        <f>C35</f>
        <v>0</v>
      </c>
      <c r="D49" s="33">
        <f aca="true" t="shared" si="0" ref="D49:G50">D35</f>
        <v>995.8380279938007</v>
      </c>
      <c r="E49" s="33">
        <f t="shared" si="0"/>
        <v>6344.819729115061</v>
      </c>
      <c r="F49" s="33">
        <f t="shared" si="0"/>
        <v>14358.560243676424</v>
      </c>
      <c r="G49" s="33">
        <f t="shared" si="0"/>
        <v>23952.526164968225</v>
      </c>
    </row>
    <row r="50" spans="1:7" s="9" customFormat="1" ht="12.75" hidden="1">
      <c r="A50" s="32" t="s">
        <v>236</v>
      </c>
      <c r="C50" s="33">
        <f>C36</f>
        <v>0</v>
      </c>
      <c r="D50" s="33">
        <f t="shared" si="0"/>
        <v>8000</v>
      </c>
      <c r="E50" s="33">
        <f t="shared" si="0"/>
        <v>8000</v>
      </c>
      <c r="F50" s="33">
        <f t="shared" si="0"/>
        <v>8000</v>
      </c>
      <c r="G50" s="33">
        <f t="shared" si="0"/>
        <v>8000</v>
      </c>
    </row>
    <row r="51" spans="1:7" s="9" customFormat="1" ht="12.75" hidden="1">
      <c r="A51" s="32" t="s">
        <v>468</v>
      </c>
      <c r="C51" s="33">
        <f>-C32</f>
        <v>-110</v>
      </c>
      <c r="D51" s="33">
        <f>-D32</f>
        <v>-722.3842332988161</v>
      </c>
      <c r="E51" s="33">
        <f>-E32</f>
        <v>-6330.522115466959</v>
      </c>
      <c r="F51" s="33">
        <f>-F32</f>
        <v>-20334.114324741597</v>
      </c>
      <c r="G51" s="33">
        <f>-G32</f>
        <v>-27644.958087394727</v>
      </c>
    </row>
    <row r="52" spans="1:7" s="9" customFormat="1" ht="12.75" hidden="1">
      <c r="A52" s="32" t="s">
        <v>469</v>
      </c>
      <c r="C52" s="33">
        <f>-FLUJO_DE_CAJA_PROYECTO!C190</f>
        <v>0</v>
      </c>
      <c r="D52" s="33">
        <f>-FLUJO_DE_CAJA_PROYECTO!D190</f>
        <v>-8273.453794651432</v>
      </c>
      <c r="E52" s="33">
        <f>-FLUJO_DE_CAJA_PROYECTO!E190</f>
        <v>-7715.546205348568</v>
      </c>
      <c r="F52" s="33">
        <f>-FLUJO_DE_CAJA_PROYECTO!F190</f>
        <v>-121</v>
      </c>
      <c r="G52" s="33">
        <f>-FLUJO_DE_CAJA_PROYECTO!G190</f>
        <v>0</v>
      </c>
    </row>
    <row r="53" spans="1:7" s="9" customFormat="1" ht="12.75" hidden="1">
      <c r="A53" s="32" t="s">
        <v>470</v>
      </c>
      <c r="C53" s="33">
        <f>FLUJO_DE_CAJA_PROYECTO!C189</f>
        <v>16110</v>
      </c>
      <c r="D53" s="33">
        <f>FLUJO_DE_CAJA_PROYECTO!D189</f>
        <v>0</v>
      </c>
      <c r="E53" s="33">
        <f>FLUJO_DE_CAJA_PROYECTO!E189</f>
        <v>0</v>
      </c>
      <c r="F53" s="33">
        <f>FLUJO_DE_CAJA_PROYECTO!F189</f>
        <v>0</v>
      </c>
      <c r="G53" s="33">
        <f>FLUJO_DE_CAJA_PROYECTO!G189</f>
        <v>0</v>
      </c>
    </row>
    <row r="54" spans="1:7" s="9" customFormat="1" ht="12.75" hidden="1">
      <c r="A54" s="32" t="s">
        <v>491</v>
      </c>
      <c r="C54" s="33">
        <f>-FLUJO_DE_CAJA_PROYECTO!C98</f>
        <v>-40000</v>
      </c>
      <c r="D54" s="33">
        <f>-FLUJO_DE_CAJA_PROYECTO!D159</f>
        <v>0</v>
      </c>
      <c r="E54" s="33">
        <f>-FLUJO_DE_CAJA_PROYECTO!E159</f>
        <v>0</v>
      </c>
      <c r="F54" s="33">
        <f>-FLUJO_DE_CAJA_PROYECTO!F159</f>
        <v>0</v>
      </c>
      <c r="G54" s="33">
        <f>-FLUJO_DE_CAJA_PROYECTO!G159</f>
        <v>0</v>
      </c>
    </row>
    <row r="55" spans="1:7" s="9" customFormat="1" ht="12.75" hidden="1">
      <c r="A55" s="32" t="s">
        <v>471</v>
      </c>
      <c r="C55" s="33"/>
      <c r="D55" s="33"/>
      <c r="E55" s="33"/>
      <c r="F55" s="33"/>
      <c r="G55" s="33">
        <f>FLUJO_DE_CAJA_PROYECTO!G227</f>
        <v>118088.094913637</v>
      </c>
    </row>
    <row r="56" spans="1:7" s="9" customFormat="1" ht="12.75" hidden="1">
      <c r="A56" s="32" t="s">
        <v>480</v>
      </c>
      <c r="C56" s="102">
        <f>SUM(C49:C55)</f>
        <v>-24000</v>
      </c>
      <c r="D56" s="102">
        <f>SUM(D49:D55)</f>
        <v>4.355388227850199E-08</v>
      </c>
      <c r="E56" s="102">
        <f>SUM(E49:E55)</f>
        <v>298.751408299534</v>
      </c>
      <c r="F56" s="102">
        <f>SUM(F49:F55)</f>
        <v>1903.4459189348272</v>
      </c>
      <c r="G56" s="102">
        <f>SUM(G49:G55)</f>
        <v>122395.6629912105</v>
      </c>
    </row>
    <row r="57" spans="1:7" s="9" customFormat="1" ht="15" hidden="1">
      <c r="A57" s="185" t="s">
        <v>200</v>
      </c>
      <c r="B57" s="161"/>
      <c r="C57" s="193"/>
      <c r="D57" s="193">
        <f>+FLUJO_DE_CAJA_PROYECTO!D237-D56</f>
        <v>-4.355388227850199E-08</v>
      </c>
      <c r="E57" s="193">
        <f>+FLUJO_DE_CAJA_PROYECTO!E237-E56</f>
        <v>9.86062218544248E-08</v>
      </c>
      <c r="F57" s="193">
        <f>+FLUJO_DE_CAJA_PROYECTO!F237-F56</f>
        <v>-2.0030893210787326E-07</v>
      </c>
      <c r="G57" s="193">
        <f>+FLUJO_DE_CAJA_PROYECTO!G237-G56</f>
        <v>-4.470566636882722E-06</v>
      </c>
    </row>
    <row r="58" spans="1:7" s="9" customFormat="1" ht="15" hidden="1">
      <c r="A58" s="186" t="s">
        <v>234</v>
      </c>
      <c r="C58" s="33"/>
      <c r="D58" s="33"/>
      <c r="E58" s="33"/>
      <c r="F58" s="33"/>
      <c r="G58" s="33"/>
    </row>
    <row r="59" spans="1:7" s="9" customFormat="1" ht="12.75" hidden="1">
      <c r="A59" s="8" t="s">
        <v>230</v>
      </c>
      <c r="C59" s="8"/>
      <c r="D59" s="33">
        <f>+FLUJO_DE_CAJA_PROYECTO!D208+FLUJO_DE_CAJA_PROYECTO!D209+FLUJO_DE_CAJA_PROYECTO!D210</f>
        <v>13272.976367209245</v>
      </c>
      <c r="E59" s="33">
        <f>+FLUJO_DE_CAJA_PROYECTO!E208+FLUJO_DE_CAJA_PROYECTO!E209+FLUJO_DE_CAJA_PROYECTO!E210</f>
        <v>8245.64261363434</v>
      </c>
      <c r="F59" s="33">
        <f>+FLUJO_DE_CAJA_PROYECTO!F208+FLUJO_DE_CAJA_PROYECTO!F209+FLUJO_DE_CAJA_PROYECTO!F210</f>
        <v>-745.5316633183961</v>
      </c>
      <c r="G59" s="33">
        <f>+FLUJO_DE_CAJA_PROYECTO!G208+FLUJO_DE_CAJA_PROYECTO!G209+FLUJO_DE_CAJA_PROYECTO!G210</f>
        <v>-13.24213183301626</v>
      </c>
    </row>
    <row r="60" spans="1:7" s="9" customFormat="1" ht="12.75" hidden="1">
      <c r="A60" s="160" t="s">
        <v>413</v>
      </c>
      <c r="B60" s="161"/>
      <c r="C60" s="162"/>
      <c r="D60" s="193">
        <f>+D59-FLUJO_DE_CAJA_PROYECTO!D252</f>
        <v>0</v>
      </c>
      <c r="E60" s="193">
        <f>+E59-FLUJO_DE_CAJA_PROYECTO!E252</f>
        <v>0</v>
      </c>
      <c r="F60" s="193">
        <f>+F59-FLUJO_DE_CAJA_PROYECTO!F252</f>
        <v>0</v>
      </c>
      <c r="G60" s="193">
        <f>+G59-FLUJO_DE_CAJA_PROYECTO!G252</f>
        <v>0</v>
      </c>
    </row>
    <row r="61" spans="1:7" s="9" customFormat="1" ht="12.75" hidden="1">
      <c r="A61" s="8" t="s">
        <v>232</v>
      </c>
      <c r="C61" s="33"/>
      <c r="D61" s="33">
        <f>+D59+D56</f>
        <v>13272.976367252799</v>
      </c>
      <c r="E61" s="33">
        <f>+E59+E56</f>
        <v>8544.394021933873</v>
      </c>
      <c r="F61" s="33">
        <f>+F59+F56</f>
        <v>1157.914255616431</v>
      </c>
      <c r="G61" s="33">
        <f>+G59+G56</f>
        <v>122382.42085937748</v>
      </c>
    </row>
    <row r="62" spans="1:7" s="9" customFormat="1" ht="12.75" hidden="1">
      <c r="A62" s="8" t="s">
        <v>231</v>
      </c>
      <c r="C62" s="33"/>
      <c r="D62" s="33">
        <f>+D61-D41</f>
        <v>0</v>
      </c>
      <c r="E62" s="33">
        <f>+E61-E41</f>
        <v>0</v>
      </c>
      <c r="F62" s="33">
        <f>+F61-F41</f>
        <v>0</v>
      </c>
      <c r="G62" s="33">
        <f>+G61-G41</f>
        <v>118088.094913637</v>
      </c>
    </row>
    <row r="63" spans="1:7" s="9" customFormat="1" ht="12.75" hidden="1">
      <c r="A63" s="160" t="s">
        <v>415</v>
      </c>
      <c r="B63" s="161"/>
      <c r="C63" s="193"/>
      <c r="D63" s="193">
        <f>+FLUJO_DE_CAJA_PROYECTO!D251-D61</f>
        <v>-4.355388227850199E-08</v>
      </c>
      <c r="E63" s="193">
        <f>+FLUJO_DE_CAJA_PROYECTO!E251-E61</f>
        <v>9.860741556622088E-08</v>
      </c>
      <c r="F63" s="193">
        <f>+FLUJO_DE_CAJA_PROYECTO!F251-F61</f>
        <v>-2.0030893210787326E-07</v>
      </c>
      <c r="G63" s="193">
        <f>+FLUJO_DE_CAJA_PROYECTO!G251-G61</f>
        <v>-4.470566636882722E-06</v>
      </c>
    </row>
    <row r="64" spans="1:7" s="9" customFormat="1" ht="12.75">
      <c r="A64" s="173"/>
      <c r="B64" s="174"/>
      <c r="C64" s="33"/>
      <c r="D64" s="33"/>
      <c r="E64" s="33"/>
      <c r="F64" s="33"/>
      <c r="G64" s="33"/>
    </row>
    <row r="65" spans="1:7" s="9" customFormat="1" ht="12.75">
      <c r="A65" s="173" t="s">
        <v>521</v>
      </c>
      <c r="B65" s="174"/>
      <c r="C65" s="33"/>
      <c r="D65" s="33"/>
      <c r="E65" s="33"/>
      <c r="F65" s="33"/>
      <c r="G65" s="33"/>
    </row>
    <row r="66" spans="1:7" s="9" customFormat="1" ht="12.75">
      <c r="A66" s="173" t="str">
        <f>A19</f>
        <v>Caja y bancos</v>
      </c>
      <c r="B66" s="173"/>
      <c r="C66" s="33">
        <f>C19</f>
        <v>110</v>
      </c>
      <c r="D66" s="33">
        <f>D19</f>
        <v>110</v>
      </c>
      <c r="E66" s="33">
        <f>E19</f>
        <v>121</v>
      </c>
      <c r="F66" s="33">
        <f>F19</f>
        <v>150</v>
      </c>
      <c r="G66" s="33">
        <f>G19</f>
        <v>150</v>
      </c>
    </row>
    <row r="67" spans="1:7" s="9" customFormat="1" ht="12.75">
      <c r="A67" s="173" t="str">
        <f aca="true" t="shared" si="1" ref="A67:G69">A20</f>
        <v>CUENTAS POR COBRAR</v>
      </c>
      <c r="B67" s="173"/>
      <c r="C67" s="33">
        <f t="shared" si="1"/>
        <v>0</v>
      </c>
      <c r="D67" s="33">
        <f t="shared" si="1"/>
        <v>2525.903977540962</v>
      </c>
      <c r="E67" s="33">
        <f t="shared" si="1"/>
        <v>3358.2909903739564</v>
      </c>
      <c r="F67" s="33">
        <f t="shared" si="1"/>
        <v>4310.994347787811</v>
      </c>
      <c r="G67" s="33">
        <f t="shared" si="1"/>
        <v>5408.409173630062</v>
      </c>
    </row>
    <row r="68" spans="1:7" s="9" customFormat="1" ht="12.75">
      <c r="A68" s="173" t="str">
        <f t="shared" si="1"/>
        <v>INVENTARIOS</v>
      </c>
      <c r="B68" s="173"/>
      <c r="C68" s="33">
        <f t="shared" si="1"/>
        <v>0</v>
      </c>
      <c r="D68" s="33">
        <f t="shared" si="1"/>
        <v>2052.3390950842363</v>
      </c>
      <c r="E68" s="33">
        <f t="shared" si="1"/>
        <v>2735.33753020669</v>
      </c>
      <c r="F68" s="33">
        <f t="shared" si="1"/>
        <v>3370.6327057402664</v>
      </c>
      <c r="G68" s="33">
        <f t="shared" si="1"/>
        <v>4140.083186042437</v>
      </c>
    </row>
    <row r="69" spans="1:7" s="9" customFormat="1" ht="12.75">
      <c r="A69" s="173" t="str">
        <f t="shared" si="1"/>
        <v>INVERSIONES</v>
      </c>
      <c r="B69" s="173"/>
      <c r="C69" s="33">
        <f t="shared" si="1"/>
        <v>0</v>
      </c>
      <c r="D69" s="33">
        <f t="shared" si="1"/>
        <v>0</v>
      </c>
      <c r="E69" s="33">
        <f t="shared" si="1"/>
        <v>8794.738310821078</v>
      </c>
      <c r="F69" s="33">
        <f t="shared" si="1"/>
        <v>33253.43385301478</v>
      </c>
      <c r="G69" s="33">
        <f t="shared" si="1"/>
        <v>65919.93932377815</v>
      </c>
    </row>
    <row r="70" spans="1:7" s="9" customFormat="1" ht="12.75">
      <c r="A70" s="173" t="s">
        <v>486</v>
      </c>
      <c r="B70" s="174"/>
      <c r="C70" s="33">
        <f>SUM(C66:C69)</f>
        <v>110</v>
      </c>
      <c r="D70" s="33">
        <f>SUM(D66:D69)</f>
        <v>4688.243072625199</v>
      </c>
      <c r="E70" s="33">
        <f>SUM(E66:E69)</f>
        <v>15009.366831401725</v>
      </c>
      <c r="F70" s="33">
        <f>SUM(F66:F69)</f>
        <v>41085.06090654286</v>
      </c>
      <c r="G70" s="33">
        <f>SUM(G66:G69)</f>
        <v>75618.43168345065</v>
      </c>
    </row>
    <row r="71" spans="1:7" s="9" customFormat="1" ht="12.75">
      <c r="A71" s="173"/>
      <c r="B71" s="174"/>
      <c r="C71" s="33"/>
      <c r="D71" s="33"/>
      <c r="E71" s="33"/>
      <c r="F71" s="33"/>
      <c r="G71" s="33"/>
    </row>
    <row r="72" spans="1:7" s="9" customFormat="1" ht="12.75">
      <c r="A72" s="173" t="str">
        <f>A25</f>
        <v>CUENTAS POR PAGAR PROVEEDORES</v>
      </c>
      <c r="B72" s="173"/>
      <c r="C72" s="33">
        <f aca="true" t="shared" si="2" ref="C72:G75">C25</f>
        <v>0</v>
      </c>
      <c r="D72" s="33">
        <f t="shared" si="2"/>
        <v>2668.0408236095063</v>
      </c>
      <c r="E72" s="33">
        <f t="shared" si="2"/>
        <v>3298.769295645663</v>
      </c>
      <c r="F72" s="33">
        <f t="shared" si="2"/>
        <v>4058.8560652416927</v>
      </c>
      <c r="G72" s="33">
        <f t="shared" si="2"/>
        <v>4982.805346594774</v>
      </c>
    </row>
    <row r="73" spans="1:7" s="9" customFormat="1" ht="12.75">
      <c r="A73" s="173" t="str">
        <f>A26</f>
        <v>CUENTAS POR PAGAR GASTOS GENERALES</v>
      </c>
      <c r="B73" s="173"/>
      <c r="C73" s="33">
        <f t="shared" si="2"/>
        <v>0</v>
      </c>
      <c r="D73" s="33">
        <f t="shared" si="2"/>
        <v>214.01999999999998</v>
      </c>
      <c r="E73" s="33">
        <f t="shared" si="2"/>
        <v>265.3847999999998</v>
      </c>
      <c r="F73" s="33">
        <f t="shared" si="2"/>
        <v>326.4233039999999</v>
      </c>
      <c r="G73" s="33">
        <f t="shared" si="2"/>
        <v>401.5006639200001</v>
      </c>
    </row>
    <row r="74" spans="1:7" s="9" customFormat="1" ht="12.75">
      <c r="A74" s="173" t="str">
        <f>A27</f>
        <v>PRESTACIONES SOCIALES POR PAGAR</v>
      </c>
      <c r="B74" s="173"/>
      <c r="C74" s="33">
        <f t="shared" si="2"/>
        <v>0</v>
      </c>
      <c r="D74" s="33">
        <f t="shared" si="2"/>
        <v>376.29519887704805</v>
      </c>
      <c r="E74" s="33">
        <f t="shared" si="2"/>
        <v>475.4145495186975</v>
      </c>
      <c r="F74" s="33">
        <f t="shared" si="2"/>
        <v>587.6247173893905</v>
      </c>
      <c r="G74" s="33">
        <f t="shared" si="2"/>
        <v>720.6312086815024</v>
      </c>
    </row>
    <row r="75" spans="1:7" s="9" customFormat="1" ht="12.75">
      <c r="A75" s="173" t="str">
        <f>A28</f>
        <v>INTERESES POR PAGAR</v>
      </c>
      <c r="B75" s="173"/>
      <c r="C75" s="33">
        <f t="shared" si="2"/>
        <v>0</v>
      </c>
      <c r="D75" s="33">
        <f t="shared" si="2"/>
        <v>0</v>
      </c>
      <c r="E75" s="33">
        <f t="shared" si="2"/>
        <v>0</v>
      </c>
      <c r="F75" s="33">
        <f t="shared" si="2"/>
        <v>0</v>
      </c>
      <c r="G75" s="33">
        <f t="shared" si="2"/>
        <v>0</v>
      </c>
    </row>
    <row r="76" spans="1:7" s="9" customFormat="1" ht="12.75">
      <c r="A76" s="173" t="s">
        <v>518</v>
      </c>
      <c r="B76" s="174"/>
      <c r="C76" s="33">
        <f>C8*FLUJO_DE_CAJA_PROYECTO!D7</f>
        <v>0</v>
      </c>
      <c r="D76" s="33">
        <f>D3*D8</f>
        <v>2472.32378150546</v>
      </c>
      <c r="E76" s="33">
        <f>E3*E8</f>
        <v>4708.735852342143</v>
      </c>
      <c r="F76" s="33">
        <f>F3*F8</f>
        <v>7696.35588544046</v>
      </c>
      <c r="G76" s="33">
        <f>G3*G8</f>
        <v>10979.665445683084</v>
      </c>
    </row>
    <row r="77" spans="1:7" s="9" customFormat="1" ht="12.75">
      <c r="A77" s="173" t="s">
        <v>519</v>
      </c>
      <c r="B77" s="174"/>
      <c r="C77" s="33"/>
      <c r="D77" s="33">
        <f>D9*D3</f>
        <v>0</v>
      </c>
      <c r="E77" s="33">
        <f>E9*E3</f>
        <v>0</v>
      </c>
      <c r="F77" s="33">
        <f>F9*F3</f>
        <v>932.0223925984101</v>
      </c>
      <c r="G77" s="33">
        <f>G9*G3</f>
        <v>3391.850253297851</v>
      </c>
    </row>
    <row r="78" spans="1:7" s="9" customFormat="1" ht="12.75">
      <c r="A78" s="173" t="str">
        <f>A30</f>
        <v>pasivos corrientes</v>
      </c>
      <c r="B78" s="174"/>
      <c r="C78" s="33"/>
      <c r="D78" s="33">
        <f>SUM(D72:D77)</f>
        <v>5730.679803992014</v>
      </c>
      <c r="E78" s="33">
        <f>SUM(E72:E77)</f>
        <v>8748.304497506502</v>
      </c>
      <c r="F78" s="33">
        <f>SUM(F72:F77)</f>
        <v>13601.282364669954</v>
      </c>
      <c r="G78" s="33">
        <f>SUM(G72:G77)</f>
        <v>20476.45291817721</v>
      </c>
    </row>
    <row r="79" spans="1:7" s="9" customFormat="1" ht="12.75">
      <c r="A79" s="173" t="s">
        <v>487</v>
      </c>
      <c r="B79" s="174"/>
      <c r="C79" s="33">
        <f>C70-C78</f>
        <v>110</v>
      </c>
      <c r="D79" s="33">
        <f>D70-D78</f>
        <v>-1042.4367313668154</v>
      </c>
      <c r="E79" s="33">
        <f>E70-E78</f>
        <v>6261.062333895223</v>
      </c>
      <c r="F79" s="33">
        <f>F70-F78</f>
        <v>27483.778541872904</v>
      </c>
      <c r="G79" s="33">
        <f>G70-G78</f>
        <v>55141.97876527344</v>
      </c>
    </row>
    <row r="80" spans="1:7" s="9" customFormat="1" ht="12.75">
      <c r="A80" s="173" t="s">
        <v>488</v>
      </c>
      <c r="B80" s="174"/>
      <c r="C80" s="33">
        <f>C79-B79</f>
        <v>110</v>
      </c>
      <c r="D80" s="33">
        <f>D79-C79</f>
        <v>-1152.4367313668154</v>
      </c>
      <c r="E80" s="33">
        <f>E79-D79</f>
        <v>7303.499065262038</v>
      </c>
      <c r="F80" s="33">
        <f>F79-E79</f>
        <v>21222.716207977683</v>
      </c>
      <c r="G80" s="33">
        <f>G79-F79</f>
        <v>27658.200223400534</v>
      </c>
    </row>
    <row r="81" spans="1:7" s="9" customFormat="1" ht="12.75">
      <c r="A81" s="173"/>
      <c r="B81" s="174"/>
      <c r="C81" s="33"/>
      <c r="D81" s="33"/>
      <c r="E81" s="33"/>
      <c r="F81" s="33"/>
      <c r="G81" s="33"/>
    </row>
    <row r="82" spans="1:7" s="9" customFormat="1" ht="12.75">
      <c r="A82" s="173"/>
      <c r="B82" s="174"/>
      <c r="C82" s="33"/>
      <c r="D82" s="33"/>
      <c r="E82" s="33"/>
      <c r="F82" s="33"/>
      <c r="G82" s="33"/>
    </row>
    <row r="83" spans="1:7" s="9" customFormat="1" ht="12.75">
      <c r="A83" s="180" t="s">
        <v>416</v>
      </c>
      <c r="C83" s="33"/>
      <c r="D83" s="33"/>
      <c r="E83" s="33"/>
      <c r="F83" s="33"/>
      <c r="G83" s="33"/>
    </row>
    <row r="84" spans="1:7" s="9" customFormat="1" ht="12.75">
      <c r="A84" s="8"/>
      <c r="B84" s="8"/>
      <c r="C84" s="33"/>
      <c r="D84" s="194"/>
      <c r="E84" s="194"/>
      <c r="F84" s="194"/>
      <c r="G84" s="194"/>
    </row>
    <row r="85" spans="1:7" s="9" customFormat="1" ht="12">
      <c r="A85" s="8" t="s">
        <v>239</v>
      </c>
      <c r="B85" s="8"/>
      <c r="C85" s="195">
        <f>C8</f>
        <v>0</v>
      </c>
      <c r="D85" s="195">
        <f>D8</f>
        <v>6592.863417347893</v>
      </c>
      <c r="E85" s="195">
        <f>E8</f>
        <v>12556.628939579048</v>
      </c>
      <c r="F85" s="195">
        <f>F8</f>
        <v>20523.615694507895</v>
      </c>
      <c r="G85" s="195">
        <f>G8</f>
        <v>29279.107855154893</v>
      </c>
    </row>
    <row r="86" spans="1:7" s="9" customFormat="1" ht="12">
      <c r="A86" s="8" t="s">
        <v>240</v>
      </c>
      <c r="B86" s="8"/>
      <c r="C86" s="195">
        <f>-C85*FLUJO_DE_CAJA_PROYECTO!C7</f>
        <v>0</v>
      </c>
      <c r="D86" s="195">
        <f>-D85*FLUJO_DE_CAJA_PROYECTO!D7</f>
        <v>-2472.32378150546</v>
      </c>
      <c r="E86" s="195">
        <f>-E85*FLUJO_DE_CAJA_PROYECTO!E7</f>
        <v>-4708.735852342143</v>
      </c>
      <c r="F86" s="195">
        <f>-F85*FLUJO_DE_CAJA_PROYECTO!F7</f>
        <v>-7696.35588544046</v>
      </c>
      <c r="G86" s="195">
        <f>-G85*FLUJO_DE_CAJA_PROYECTO!G7</f>
        <v>-10979.665445683084</v>
      </c>
    </row>
    <row r="87" spans="1:7" s="9" customFormat="1" ht="12">
      <c r="A87" s="8" t="s">
        <v>241</v>
      </c>
      <c r="B87" s="8"/>
      <c r="C87" s="195">
        <f>+FLUJO_DE_CAJA_PROYECTO!C136</f>
        <v>0</v>
      </c>
      <c r="D87" s="195">
        <f>+FLUJO_DE_CAJA_PROYECTO!D136</f>
        <v>8000</v>
      </c>
      <c r="E87" s="195">
        <f>+FLUJO_DE_CAJA_PROYECTO!E136</f>
        <v>8000</v>
      </c>
      <c r="F87" s="195">
        <f>+FLUJO_DE_CAJA_PROYECTO!F136</f>
        <v>8000</v>
      </c>
      <c r="G87" s="195">
        <f>+FLUJO_DE_CAJA_PROYECTO!G136</f>
        <v>8000</v>
      </c>
    </row>
    <row r="88" spans="1:7" s="9" customFormat="1" ht="12">
      <c r="A88" s="8" t="s">
        <v>515</v>
      </c>
      <c r="B88" s="8"/>
      <c r="C88" s="195"/>
      <c r="D88" s="195">
        <f>D9</f>
        <v>0</v>
      </c>
      <c r="E88" s="195">
        <f>E9</f>
        <v>0</v>
      </c>
      <c r="F88" s="195">
        <f>F9</f>
        <v>2485.3930469290935</v>
      </c>
      <c r="G88" s="195">
        <f>G9</f>
        <v>9044.93400879427</v>
      </c>
    </row>
    <row r="89" spans="1:7" s="9" customFormat="1" ht="12">
      <c r="A89" s="8" t="s">
        <v>516</v>
      </c>
      <c r="B89" s="8"/>
      <c r="C89" s="195"/>
      <c r="D89" s="195">
        <f>-D3*D9</f>
        <v>0</v>
      </c>
      <c r="E89" s="195">
        <f>-E3*E9</f>
        <v>0</v>
      </c>
      <c r="F89" s="195">
        <f>-F3*F9</f>
        <v>-932.0223925984101</v>
      </c>
      <c r="G89" s="195">
        <f>-G3*G9</f>
        <v>-3391.850253297851</v>
      </c>
    </row>
    <row r="90" spans="1:7" s="9" customFormat="1" ht="12">
      <c r="A90" s="8" t="s">
        <v>489</v>
      </c>
      <c r="B90" s="8"/>
      <c r="C90" s="195">
        <f>-C80</f>
        <v>-110</v>
      </c>
      <c r="D90" s="195">
        <f>-D80</f>
        <v>1152.4367313668154</v>
      </c>
      <c r="E90" s="195">
        <f>-E80</f>
        <v>-7303.499065262038</v>
      </c>
      <c r="F90" s="195">
        <f>-F80</f>
        <v>-21222.716207977683</v>
      </c>
      <c r="G90" s="195">
        <f>-G80</f>
        <v>-27658.200223400534</v>
      </c>
    </row>
    <row r="91" spans="1:9" s="9" customFormat="1" ht="12">
      <c r="A91" s="8" t="s">
        <v>490</v>
      </c>
      <c r="B91" s="8"/>
      <c r="C91" s="195">
        <f>-FLUJO_DE_CAJA_PROYECTO!C51</f>
        <v>-40000</v>
      </c>
      <c r="D91" s="195"/>
      <c r="E91" s="195"/>
      <c r="F91" s="195"/>
      <c r="G91" s="195"/>
      <c r="I91" s="9">
        <v>0</v>
      </c>
    </row>
    <row r="92" spans="1:7" s="9" customFormat="1" ht="12">
      <c r="A92" s="8" t="s">
        <v>242</v>
      </c>
      <c r="B92" s="8"/>
      <c r="C92" s="195">
        <f>+FLUJO_DE_CAJA_PROYECTO!C227</f>
        <v>0</v>
      </c>
      <c r="D92" s="195">
        <f>+FLUJO_DE_CAJA_PROYECTO!D227</f>
        <v>0</v>
      </c>
      <c r="E92" s="195">
        <f>+FLUJO_DE_CAJA_PROYECTO!E227</f>
        <v>0</v>
      </c>
      <c r="F92" s="195">
        <f>+FLUJO_DE_CAJA_PROYECTO!F227</f>
        <v>0</v>
      </c>
      <c r="G92" s="195">
        <f>+FLUJO_DE_CAJA_PROYECTO!G227</f>
        <v>118088.094913637</v>
      </c>
    </row>
    <row r="93" spans="1:7" s="9" customFormat="1" ht="12.75">
      <c r="A93" s="32" t="s">
        <v>485</v>
      </c>
      <c r="C93" s="102">
        <f>SUM(C85:C92)</f>
        <v>-40110</v>
      </c>
      <c r="D93" s="102">
        <f>SUM(D85:D92)</f>
        <v>13272.976367209249</v>
      </c>
      <c r="E93" s="102">
        <f>SUM(E85:E92)</f>
        <v>8544.394021974867</v>
      </c>
      <c r="F93" s="102">
        <f>SUM(F85:F92)</f>
        <v>1157.9142554204373</v>
      </c>
      <c r="G93" s="102">
        <f>SUM(G85:G92)</f>
        <v>122382.42085520469</v>
      </c>
    </row>
    <row r="94" spans="1:8" s="9" customFormat="1" ht="12.75">
      <c r="A94" s="160" t="s">
        <v>413</v>
      </c>
      <c r="B94" s="161"/>
      <c r="C94" s="193"/>
      <c r="D94" s="193">
        <f>D95-D93</f>
        <v>0</v>
      </c>
      <c r="E94" s="193">
        <f>E95-E93</f>
        <v>0</v>
      </c>
      <c r="F94" s="193">
        <f>F95-F93</f>
        <v>-2.5693225325085223E-11</v>
      </c>
      <c r="G94" s="193">
        <f>G95-G93</f>
        <v>-1.0392250260338187E-06</v>
      </c>
      <c r="H94" s="143">
        <f>G13</f>
        <v>23952.526164968225</v>
      </c>
    </row>
    <row r="95" spans="1:7" s="9" customFormat="1" ht="12.75">
      <c r="A95" s="148" t="s">
        <v>481</v>
      </c>
      <c r="C95" s="33"/>
      <c r="D95" s="33">
        <f>+FLUJO_DE_CAJA_PROYECTO!D251</f>
        <v>13272.976367209245</v>
      </c>
      <c r="E95" s="33">
        <f>+FLUJO_DE_CAJA_PROYECTO!E251</f>
        <v>8544.39402203248</v>
      </c>
      <c r="F95" s="33">
        <f>+FLUJO_DE_CAJA_PROYECTO!F251</f>
        <v>1157.9142554161222</v>
      </c>
      <c r="G95" s="33">
        <f>+FLUJO_DE_CAJA_PROYECTO!G251</f>
        <v>122382.42085490692</v>
      </c>
    </row>
    <row r="96" spans="1:7" s="9" customFormat="1" ht="12.75">
      <c r="A96" s="148" t="s">
        <v>461</v>
      </c>
      <c r="C96" s="33"/>
      <c r="D96" s="33"/>
      <c r="E96" s="33"/>
      <c r="F96" s="33"/>
      <c r="G96" s="33"/>
    </row>
    <row r="97" spans="1:7" s="9" customFormat="1" ht="12.75">
      <c r="A97" s="148" t="s">
        <v>239</v>
      </c>
      <c r="C97" s="33">
        <f>C8</f>
        <v>0</v>
      </c>
      <c r="D97" s="33">
        <f>D8</f>
        <v>6592.863417347893</v>
      </c>
      <c r="E97" s="33">
        <f>E8</f>
        <v>12556.628939579048</v>
      </c>
      <c r="F97" s="33">
        <f>F8</f>
        <v>20523.615694507895</v>
      </c>
      <c r="G97" s="33">
        <f>G8</f>
        <v>29279.107855154893</v>
      </c>
    </row>
    <row r="98" spans="1:7" s="9" customFormat="1" ht="12.75">
      <c r="A98" s="148" t="str">
        <f>A86</f>
        <v>UAIIxT</v>
      </c>
      <c r="C98" s="33">
        <f>-C97*FLUJO_DE_CAJA_PROYECTO!C7</f>
        <v>0</v>
      </c>
      <c r="D98" s="33">
        <f>-D97*FLUJO_DE_CAJA_PROYECTO!D7</f>
        <v>-2472.32378150546</v>
      </c>
      <c r="E98" s="33">
        <f>-E97*FLUJO_DE_CAJA_PROYECTO!E7</f>
        <v>-4708.735852342143</v>
      </c>
      <c r="F98" s="33">
        <f>-F97*FLUJO_DE_CAJA_PROYECTO!F7</f>
        <v>-7696.35588544046</v>
      </c>
      <c r="G98" s="33">
        <f>-G97*FLUJO_DE_CAJA_PROYECTO!G7</f>
        <v>-10979.665445683084</v>
      </c>
    </row>
    <row r="99" spans="1:7" s="9" customFormat="1" ht="12.75">
      <c r="A99" s="148" t="s">
        <v>105</v>
      </c>
      <c r="C99" s="33">
        <f>C87</f>
        <v>0</v>
      </c>
      <c r="D99" s="33">
        <f>D87</f>
        <v>8000</v>
      </c>
      <c r="E99" s="33">
        <f>E87</f>
        <v>8000</v>
      </c>
      <c r="F99" s="33">
        <f>F87</f>
        <v>8000</v>
      </c>
      <c r="G99" s="33">
        <f>G87</f>
        <v>8000</v>
      </c>
    </row>
    <row r="100" spans="1:7" s="9" customFormat="1" ht="12.75">
      <c r="A100" s="148" t="s">
        <v>462</v>
      </c>
      <c r="C100" s="33">
        <f>-C80</f>
        <v>-110</v>
      </c>
      <c r="D100" s="33">
        <f>-D80</f>
        <v>1152.4367313668154</v>
      </c>
      <c r="E100" s="33">
        <f>-E80</f>
        <v>-7303.499065262038</v>
      </c>
      <c r="F100" s="33">
        <f>-F80</f>
        <v>-21222.716207977683</v>
      </c>
      <c r="G100" s="33">
        <f>-G80</f>
        <v>-27658.200223400534</v>
      </c>
    </row>
    <row r="101" spans="1:7" s="9" customFormat="1" ht="12.75">
      <c r="A101" s="148" t="s">
        <v>463</v>
      </c>
      <c r="C101" s="33">
        <f>-FLUJO_DE_CAJA_PROYECTO!C190</f>
        <v>0</v>
      </c>
      <c r="D101" s="33">
        <f>-FLUJO_DE_CAJA_PROYECTO!D190</f>
        <v>-8273.453794651432</v>
      </c>
      <c r="E101" s="33">
        <f>-FLUJO_DE_CAJA_PROYECTO!E190</f>
        <v>-7715.546205348568</v>
      </c>
      <c r="F101" s="33">
        <f>-FLUJO_DE_CAJA_PROYECTO!F190</f>
        <v>-121</v>
      </c>
      <c r="G101" s="33">
        <f>-FLUJO_DE_CAJA_PROYECTO!G190</f>
        <v>0</v>
      </c>
    </row>
    <row r="102" spans="1:7" s="9" customFormat="1" ht="12.75">
      <c r="A102" s="8" t="s">
        <v>520</v>
      </c>
      <c r="C102" s="33">
        <f>FLUJO_DE_CAJA_PROYECTO!C189</f>
        <v>16110</v>
      </c>
      <c r="D102" s="33">
        <f>FLUJO_DE_CAJA_PROYECTO!D189</f>
        <v>0</v>
      </c>
      <c r="E102" s="148">
        <f>FLUJO_DE_CAJA_PROYECTO!E189</f>
        <v>0</v>
      </c>
      <c r="F102" s="148">
        <f>FLUJO_DE_CAJA_PROYECTO!F189</f>
        <v>0</v>
      </c>
      <c r="G102" s="148">
        <f>FLUJO_DE_CAJA_PROYECTO!G189</f>
        <v>0</v>
      </c>
    </row>
    <row r="103" spans="1:7" s="9" customFormat="1" ht="12.75">
      <c r="A103" s="148" t="s">
        <v>492</v>
      </c>
      <c r="C103" s="33">
        <f>-FLUJO_DE_CAJA_PROYECTO!C98</f>
        <v>-40000</v>
      </c>
      <c r="D103" s="33">
        <f>-FLUJO_DE_CAJA_PROYECTO!D159</f>
        <v>0</v>
      </c>
      <c r="E103" s="33">
        <f>-FLUJO_DE_CAJA_PROYECTO!E159</f>
        <v>0</v>
      </c>
      <c r="F103" s="33">
        <f>-FLUJO_DE_CAJA_PROYECTO!F159</f>
        <v>0</v>
      </c>
      <c r="G103" s="33">
        <f>-FLUJO_DE_CAJA_PROYECTO!G159</f>
        <v>0</v>
      </c>
    </row>
    <row r="104" spans="1:7" s="9" customFormat="1" ht="12.75">
      <c r="A104" s="8" t="s">
        <v>515</v>
      </c>
      <c r="C104" s="33"/>
      <c r="D104" s="33">
        <f>D9</f>
        <v>0</v>
      </c>
      <c r="E104" s="33">
        <f>E9</f>
        <v>0</v>
      </c>
      <c r="F104" s="33">
        <f>F9</f>
        <v>2485.3930469290935</v>
      </c>
      <c r="G104" s="33">
        <f>G9</f>
        <v>9044.93400879427</v>
      </c>
    </row>
    <row r="105" spans="1:7" s="9" customFormat="1" ht="12.75">
      <c r="A105" s="8" t="s">
        <v>516</v>
      </c>
      <c r="C105" s="33"/>
      <c r="D105" s="33">
        <f>-D88*D3</f>
        <v>0</v>
      </c>
      <c r="E105" s="33">
        <f>-E88*E3</f>
        <v>0</v>
      </c>
      <c r="F105" s="33">
        <f>-F88*F3</f>
        <v>-932.0223925984101</v>
      </c>
      <c r="G105" s="33">
        <f>-G88*G3</f>
        <v>-3391.850253297851</v>
      </c>
    </row>
    <row r="106" spans="1:7" s="9" customFormat="1" ht="12.75">
      <c r="A106" s="148" t="s">
        <v>464</v>
      </c>
      <c r="C106" s="33">
        <f>-FLUJO_DE_CAJA_PROYECTO!C141</f>
        <v>0</v>
      </c>
      <c r="D106" s="33">
        <f>-FLUJO_DE_CAJA_PROYECTO!D141</f>
        <v>-4999.522572557812</v>
      </c>
      <c r="E106" s="33">
        <f>-FLUJO_DE_CAJA_PROYECTO!E141</f>
        <v>-2404.91737299495</v>
      </c>
      <c r="F106" s="33">
        <f>-FLUJO_DE_CAJA_PROYECTO!F141</f>
        <v>-35.31235155471003</v>
      </c>
      <c r="G106" s="33">
        <f>-FLUJO_DE_CAJA_PROYECTO!G141</f>
        <v>0</v>
      </c>
    </row>
    <row r="107" spans="1:7" s="9" customFormat="1" ht="12.75">
      <c r="A107" s="148" t="s">
        <v>465</v>
      </c>
      <c r="C107" s="33">
        <f>-FLUJO_DE_CAJA_PROYECTO!C210</f>
        <v>0</v>
      </c>
      <c r="D107" s="33">
        <f>-FLUJO_DE_CAJA_PROYECTO!D210</f>
        <v>0</v>
      </c>
      <c r="E107" s="33">
        <f>-FLUJO_DE_CAJA_PROYECTO!E210</f>
        <v>1874.8209647091794</v>
      </c>
      <c r="F107" s="33">
        <f>-FLUJO_DE_CAJA_PROYECTO!F210</f>
        <v>901.8440148731062</v>
      </c>
      <c r="G107" s="33">
        <f>-FLUJO_DE_CAJA_PROYECTO!G210</f>
        <v>13.24213183301626</v>
      </c>
    </row>
    <row r="108" spans="1:7" s="9" customFormat="1" ht="12.75">
      <c r="A108" s="8" t="s">
        <v>242</v>
      </c>
      <c r="C108" s="33"/>
      <c r="D108" s="33"/>
      <c r="E108" s="33"/>
      <c r="F108" s="33"/>
      <c r="G108" s="33">
        <f>G92</f>
        <v>118088.094913637</v>
      </c>
    </row>
    <row r="109" spans="1:7" s="9" customFormat="1" ht="12.75">
      <c r="A109" s="148" t="s">
        <v>461</v>
      </c>
      <c r="C109" s="33">
        <f>SUM(C97:C108)</f>
        <v>-24000</v>
      </c>
      <c r="D109" s="33">
        <f>SUM(D97:D108)</f>
        <v>4.547473508864641E-12</v>
      </c>
      <c r="E109" s="33">
        <f>SUM(E97:E108)</f>
        <v>298.751408340529</v>
      </c>
      <c r="F109" s="33">
        <f>SUM(F97:F108)</f>
        <v>1903.4459187388334</v>
      </c>
      <c r="G109" s="33">
        <f>SUM(G97:G108)</f>
        <v>122395.66298703771</v>
      </c>
    </row>
    <row r="110" spans="1:7" s="9" customFormat="1" ht="12.75">
      <c r="A110" s="160" t="s">
        <v>466</v>
      </c>
      <c r="B110" s="161"/>
      <c r="C110" s="193"/>
      <c r="D110" s="193">
        <f>D109-FLUJO_DE_CAJA_PROYECTO!D237</f>
        <v>4.547473508864641E-12</v>
      </c>
      <c r="E110" s="193">
        <f>E109-FLUJO_DE_CAJA_PROYECTO!E237</f>
        <v>-5.761120291936095E-08</v>
      </c>
      <c r="F110" s="193">
        <f>F109-FLUJO_DE_CAJA_PROYECTO!F237</f>
        <v>4.315097612561658E-09</v>
      </c>
      <c r="G110" s="193">
        <f>G109-FLUJO_DE_CAJA_PROYECTO!G237</f>
        <v>2.977758413180709E-07</v>
      </c>
    </row>
    <row r="111" spans="1:7" s="9" customFormat="1" ht="12.75">
      <c r="A111" s="8" t="s">
        <v>243</v>
      </c>
      <c r="C111" s="33"/>
      <c r="D111" s="33">
        <f>+FLUJO_DE_CAJA_PROYECTO!D208+FLUJO_DE_CAJA_PROYECTO!D209+FLUJO_DE_CAJA_PROYECTO!D210</f>
        <v>13272.976367209245</v>
      </c>
      <c r="E111" s="33">
        <f>+FLUJO_DE_CAJA_PROYECTO!E208+FLUJO_DE_CAJA_PROYECTO!E209+FLUJO_DE_CAJA_PROYECTO!E210</f>
        <v>8245.64261363434</v>
      </c>
      <c r="F111" s="33">
        <f>+FLUJO_DE_CAJA_PROYECTO!F208+FLUJO_DE_CAJA_PROYECTO!F209+FLUJO_DE_CAJA_PROYECTO!F210</f>
        <v>-745.5316633183961</v>
      </c>
      <c r="G111" s="33">
        <f>+FLUJO_DE_CAJA_PROYECTO!G208+FLUJO_DE_CAJA_PROYECTO!G209+FLUJO_DE_CAJA_PROYECTO!G210</f>
        <v>-13.24213183301626</v>
      </c>
    </row>
    <row r="112" spans="1:7" s="9" customFormat="1" ht="12.75">
      <c r="A112" s="8" t="s">
        <v>257</v>
      </c>
      <c r="C112" s="33"/>
      <c r="D112" s="33">
        <f>+D111-D59</f>
        <v>0</v>
      </c>
      <c r="E112" s="33">
        <f>+E111-E59</f>
        <v>0</v>
      </c>
      <c r="F112" s="33">
        <f>+F111-F59</f>
        <v>0</v>
      </c>
      <c r="G112" s="33">
        <f>+G111-G59</f>
        <v>0</v>
      </c>
    </row>
    <row r="113" spans="1:7" s="9" customFormat="1" ht="12.75">
      <c r="A113" s="8" t="s">
        <v>244</v>
      </c>
      <c r="C113" s="33"/>
      <c r="D113" s="33">
        <f>D111+D109</f>
        <v>13272.976367209249</v>
      </c>
      <c r="E113" s="33">
        <f>E111+E109</f>
        <v>8544.39402197487</v>
      </c>
      <c r="F113" s="33">
        <f>F111+F109</f>
        <v>1157.9142554204373</v>
      </c>
      <c r="G113" s="33">
        <f>G111+G109</f>
        <v>122382.42085520469</v>
      </c>
    </row>
    <row r="114" spans="1:7" s="9" customFormat="1" ht="12.75">
      <c r="A114" s="162" t="s">
        <v>245</v>
      </c>
      <c r="B114" s="161"/>
      <c r="C114" s="193"/>
      <c r="D114" s="193">
        <f>D113-D93</f>
        <v>0</v>
      </c>
      <c r="E114" s="193">
        <f>E113-E93</f>
        <v>0</v>
      </c>
      <c r="F114" s="193">
        <f>F113-F93</f>
        <v>0</v>
      </c>
      <c r="G114" s="193">
        <f>G113-G93</f>
        <v>0</v>
      </c>
    </row>
    <row r="115" spans="1:7" s="9" customFormat="1" ht="12.75">
      <c r="A115" s="8"/>
      <c r="B115" s="8"/>
      <c r="C115" s="33"/>
      <c r="D115" s="33"/>
      <c r="E115" s="33"/>
      <c r="F115" s="33"/>
      <c r="G115" s="33"/>
    </row>
    <row r="116" spans="1:7" s="9" customFormat="1" ht="12.75">
      <c r="A116" s="181" t="s">
        <v>260</v>
      </c>
      <c r="B116" s="8"/>
      <c r="C116" s="33"/>
      <c r="D116" s="33"/>
      <c r="E116" s="33"/>
      <c r="F116" s="33"/>
      <c r="G116" s="33"/>
    </row>
    <row r="117" spans="1:7" s="9" customFormat="1" ht="12.75">
      <c r="A117" s="181" t="s">
        <v>412</v>
      </c>
      <c r="B117" s="165"/>
      <c r="C117" s="196"/>
      <c r="D117" s="196"/>
      <c r="E117" s="196"/>
      <c r="F117" s="196"/>
      <c r="G117" s="196"/>
    </row>
    <row r="118" spans="1:7" s="9" customFormat="1" ht="12.75">
      <c r="A118" s="8"/>
      <c r="B118" s="165"/>
      <c r="C118" s="196"/>
      <c r="D118" s="196"/>
      <c r="E118" s="196"/>
      <c r="F118" s="196"/>
      <c r="G118" s="196"/>
    </row>
    <row r="119" spans="1:7" s="9" customFormat="1" ht="12.75">
      <c r="A119" s="182" t="s">
        <v>202</v>
      </c>
      <c r="B119" s="165"/>
      <c r="C119" s="196"/>
      <c r="D119" s="196">
        <f>SUM(FLUJO_DE_CAJA_PROYECTO!D91:D95)</f>
        <v>4688.243072625199</v>
      </c>
      <c r="E119" s="196">
        <f>SUM(FLUJO_DE_CAJA_PROYECTO!E91:E95)</f>
        <v>15009.366831401725</v>
      </c>
      <c r="F119" s="196">
        <f>SUM(FLUJO_DE_CAJA_PROYECTO!F91:F95)</f>
        <v>41085.06090707277</v>
      </c>
      <c r="G119" s="196">
        <f>SUM(FLUJO_DE_CAJA_PROYECTO!G91:G95)</f>
        <v>75618.43169510755</v>
      </c>
    </row>
    <row r="120" spans="1:7" s="9" customFormat="1" ht="12.75">
      <c r="A120" s="182" t="s">
        <v>203</v>
      </c>
      <c r="B120" s="165"/>
      <c r="C120" s="196"/>
      <c r="D120" s="196">
        <f>SUM(FLUJO_DE_CAJA_PROYECTO!D104:D108)</f>
        <v>3855.8588393263826</v>
      </c>
      <c r="E120" s="196">
        <f>SUM(FLUJO_DE_CAJA_PROYECTO!E104:E108)</f>
        <v>7846.46048263595</v>
      </c>
      <c r="F120" s="196">
        <f>SUM(FLUJO_DE_CAJA_PROYECTO!F104:F108)</f>
        <v>13588.040233035485</v>
      </c>
      <c r="G120" s="196">
        <f>SUM(FLUJO_DE_CAJA_PROYECTO!G104:G108)</f>
        <v>20476.452922548546</v>
      </c>
    </row>
    <row r="121" spans="1:7" s="9" customFormat="1" ht="12.75">
      <c r="A121" s="182" t="s">
        <v>198</v>
      </c>
      <c r="B121" s="165"/>
      <c r="C121" s="196"/>
      <c r="D121" s="196">
        <f>+D119-D120</f>
        <v>832.3842332988161</v>
      </c>
      <c r="E121" s="196">
        <f>+E119-E120</f>
        <v>7162.906348765775</v>
      </c>
      <c r="F121" s="196">
        <f>+F119-F120</f>
        <v>27497.02067403729</v>
      </c>
      <c r="G121" s="196">
        <f>+G119-G120</f>
        <v>55141.978772559</v>
      </c>
    </row>
    <row r="122" spans="1:7" s="9" customFormat="1" ht="12.75">
      <c r="A122" s="165" t="s">
        <v>201</v>
      </c>
      <c r="B122" s="165"/>
      <c r="C122" s="165"/>
      <c r="D122" s="196">
        <f>+D121-C121</f>
        <v>832.3842332988161</v>
      </c>
      <c r="E122" s="196">
        <f>+E121-D121</f>
        <v>6330.522115466959</v>
      </c>
      <c r="F122" s="196">
        <f>+F121-E121</f>
        <v>20334.114325271512</v>
      </c>
      <c r="G122" s="196">
        <f>+G121-F121</f>
        <v>27644.95809852171</v>
      </c>
    </row>
    <row r="123" spans="1:7" s="9" customFormat="1" ht="12.75">
      <c r="A123" s="182"/>
      <c r="B123" s="165"/>
      <c r="C123" s="196"/>
      <c r="D123" s="196"/>
      <c r="E123" s="196"/>
      <c r="F123" s="196"/>
      <c r="G123" s="196"/>
    </row>
    <row r="124" spans="1:7" s="9" customFormat="1" ht="15">
      <c r="A124" s="187" t="s">
        <v>204</v>
      </c>
      <c r="B124" s="165"/>
      <c r="C124" s="196"/>
      <c r="D124" s="196">
        <f>+FLUJO_DE_CAJA_PROYECTO!D139</f>
        <v>6592.863417347893</v>
      </c>
      <c r="E124" s="196">
        <f>+FLUJO_DE_CAJA_PROYECTO!E139</f>
        <v>12556.628939579048</v>
      </c>
      <c r="F124" s="196">
        <f>+FLUJO_DE_CAJA_PROYECTO!F139</f>
        <v>20523.615694507895</v>
      </c>
      <c r="G124" s="196">
        <f>+FLUJO_DE_CAJA_PROYECTO!G139</f>
        <v>29279.107855154893</v>
      </c>
    </row>
    <row r="125" spans="1:7" s="9" customFormat="1" ht="15">
      <c r="A125" s="188" t="s">
        <v>205</v>
      </c>
      <c r="B125" s="165"/>
      <c r="C125" s="196"/>
      <c r="D125" s="196">
        <f>+D124*FLUJO_DE_CAJA_PROYECTO!D7</f>
        <v>2472.32378150546</v>
      </c>
      <c r="E125" s="196">
        <f>+E124*FLUJO_DE_CAJA_PROYECTO!E7</f>
        <v>4708.735852342143</v>
      </c>
      <c r="F125" s="196">
        <f>+F124*FLUJO_DE_CAJA_PROYECTO!F7</f>
        <v>7696.35588544046</v>
      </c>
      <c r="G125" s="196">
        <f>+G124*FLUJO_DE_CAJA_PROYECTO!G7</f>
        <v>10979.665445683084</v>
      </c>
    </row>
    <row r="126" spans="1:7" s="9" customFormat="1" ht="15">
      <c r="A126" s="188" t="s">
        <v>206</v>
      </c>
      <c r="B126" s="165"/>
      <c r="C126" s="196"/>
      <c r="D126" s="196">
        <f>+FLUJO_DE_CAJA_PROYECTO!D136</f>
        <v>8000</v>
      </c>
      <c r="E126" s="196">
        <f>+FLUJO_DE_CAJA_PROYECTO!E136</f>
        <v>8000</v>
      </c>
      <c r="F126" s="196">
        <f>+FLUJO_DE_CAJA_PROYECTO!F136</f>
        <v>8000</v>
      </c>
      <c r="G126" s="196">
        <f>+FLUJO_DE_CAJA_PROYECTO!G136</f>
        <v>8000</v>
      </c>
    </row>
    <row r="127" spans="1:7" s="9" customFormat="1" ht="15">
      <c r="A127" s="188" t="s">
        <v>207</v>
      </c>
      <c r="B127" s="165"/>
      <c r="C127" s="196"/>
      <c r="D127" s="196">
        <f>+D122</f>
        <v>832.3842332988161</v>
      </c>
      <c r="E127" s="196">
        <f>+E122</f>
        <v>6330.522115466959</v>
      </c>
      <c r="F127" s="196">
        <f>+F122</f>
        <v>20334.114325271512</v>
      </c>
      <c r="G127" s="196">
        <f>+G122</f>
        <v>27644.95809852171</v>
      </c>
    </row>
    <row r="128" spans="1:7" s="9" customFormat="1" ht="12.75">
      <c r="A128" s="182" t="s">
        <v>412</v>
      </c>
      <c r="B128" s="165"/>
      <c r="C128" s="196"/>
      <c r="D128" s="196">
        <f>+D124-D125+D126-D127+FLUJO_DE_CAJA_PROYECTO!D227</f>
        <v>11288.155402543616</v>
      </c>
      <c r="E128" s="196">
        <f>+E124-E125+E126-E127+FLUJO_DE_CAJA_PROYECTO!E227</f>
        <v>9517.370971769946</v>
      </c>
      <c r="F128" s="196">
        <f>+F124-F125+F126-F127+FLUJO_DE_CAJA_PROYECTO!F227</f>
        <v>493.1454837959245</v>
      </c>
      <c r="G128" s="196">
        <f>+G124-G125+G126-G127+FLUJO_DE_CAJA_PROYECTO!G227</f>
        <v>116742.5792245871</v>
      </c>
    </row>
    <row r="129" spans="1:7" s="9" customFormat="1" ht="12">
      <c r="A129" s="166" t="s">
        <v>227</v>
      </c>
      <c r="B129" s="165"/>
      <c r="C129" s="165"/>
      <c r="D129" s="165">
        <f>+D128-D113</f>
        <v>-1984.8209646656323</v>
      </c>
      <c r="E129" s="165">
        <f>+E128-E113</f>
        <v>972.9769497950765</v>
      </c>
      <c r="F129" s="165">
        <f>+F128-F113</f>
        <v>-664.7687716245127</v>
      </c>
      <c r="G129" s="165">
        <f>+G128-G113</f>
        <v>-5639.841630617593</v>
      </c>
    </row>
    <row r="130" spans="1:7" s="9" customFormat="1" ht="12">
      <c r="A130" s="167" t="s">
        <v>267</v>
      </c>
      <c r="B130" s="165"/>
      <c r="C130" s="165"/>
      <c r="D130" s="165"/>
      <c r="E130" s="165"/>
      <c r="F130" s="165"/>
      <c r="G130" s="165"/>
    </row>
    <row r="131" spans="1:7" s="9" customFormat="1" ht="12">
      <c r="A131" s="168" t="s">
        <v>268</v>
      </c>
      <c r="B131" s="165"/>
      <c r="C131" s="165"/>
      <c r="D131" s="165">
        <f>+D35</f>
        <v>995.8380279938007</v>
      </c>
      <c r="E131" s="165">
        <f>+E35</f>
        <v>6344.819729115061</v>
      </c>
      <c r="F131" s="165">
        <f>+F35</f>
        <v>14358.560243676424</v>
      </c>
      <c r="G131" s="165">
        <f>+G35</f>
        <v>23952.526164968225</v>
      </c>
    </row>
    <row r="132" spans="1:7" s="9" customFormat="1" ht="12">
      <c r="A132" s="168" t="s">
        <v>269</v>
      </c>
      <c r="B132" s="165"/>
      <c r="C132" s="165"/>
      <c r="D132" s="165">
        <f>+D126</f>
        <v>8000</v>
      </c>
      <c r="E132" s="165">
        <f>+E126</f>
        <v>8000</v>
      </c>
      <c r="F132" s="165">
        <f>+F126</f>
        <v>8000</v>
      </c>
      <c r="G132" s="165">
        <f>+G126</f>
        <v>8000</v>
      </c>
    </row>
    <row r="133" spans="1:7" s="9" customFormat="1" ht="12">
      <c r="A133" s="168" t="s">
        <v>270</v>
      </c>
      <c r="B133" s="165"/>
      <c r="C133" s="165"/>
      <c r="D133" s="165"/>
      <c r="E133" s="165"/>
      <c r="F133" s="165"/>
      <c r="G133" s="165"/>
    </row>
    <row r="134" spans="1:7" s="9" customFormat="1" ht="12">
      <c r="A134" s="168" t="s">
        <v>271</v>
      </c>
      <c r="B134" s="165"/>
      <c r="C134" s="165"/>
      <c r="D134" s="165">
        <f>+D127</f>
        <v>832.3842332988161</v>
      </c>
      <c r="E134" s="165">
        <f>+E127</f>
        <v>6330.522115466959</v>
      </c>
      <c r="F134" s="165">
        <f>+F127</f>
        <v>20334.114325271512</v>
      </c>
      <c r="G134" s="165">
        <f>+G127</f>
        <v>27644.95809852171</v>
      </c>
    </row>
    <row r="135" spans="1:7" s="9" customFormat="1" ht="12">
      <c r="A135" s="168" t="s">
        <v>272</v>
      </c>
      <c r="B135" s="165"/>
      <c r="C135" s="165"/>
      <c r="D135" s="165">
        <f>+FLUJO_DE_CAJA_PROYECTO!D141</f>
        <v>4999.522572557812</v>
      </c>
      <c r="E135" s="165">
        <f>+FLUJO_DE_CAJA_PROYECTO!E141</f>
        <v>2404.91737299495</v>
      </c>
      <c r="F135" s="165">
        <f>+FLUJO_DE_CAJA_PROYECTO!F141</f>
        <v>35.31235155471003</v>
      </c>
      <c r="G135" s="165">
        <f>+FLUJO_DE_CAJA_PROYECTO!G141</f>
        <v>0</v>
      </c>
    </row>
    <row r="136" spans="1:7" s="9" customFormat="1" ht="12">
      <c r="A136" s="168" t="s">
        <v>273</v>
      </c>
      <c r="B136" s="165"/>
      <c r="C136" s="165"/>
      <c r="D136" s="165">
        <f>+D38</f>
        <v>0</v>
      </c>
      <c r="E136" s="165">
        <f>+E38</f>
        <v>-1874.8209647091794</v>
      </c>
      <c r="F136" s="165">
        <f>+F38</f>
        <v>-901.8440148731062</v>
      </c>
      <c r="G136" s="165">
        <f>+G38</f>
        <v>-13.24213183301626</v>
      </c>
    </row>
    <row r="137" spans="1:7" s="9" customFormat="1" ht="12">
      <c r="A137" s="168" t="s">
        <v>208</v>
      </c>
      <c r="B137" s="165"/>
      <c r="C137" s="165"/>
      <c r="D137" s="165">
        <f>+D131+D132-D133-D134+D135-D136</f>
        <v>13162.976367252797</v>
      </c>
      <c r="E137" s="165">
        <f>+E131+E132-E133-E134+E135-E136</f>
        <v>12294.03595135223</v>
      </c>
      <c r="F137" s="165">
        <f>+F131+F132-F133-F134+F135-F136</f>
        <v>2961.602284832728</v>
      </c>
      <c r="G137" s="165">
        <f>+G131+G132-G133-G134+G135-G136+FLUJO_DE_CAJA_PROYECTO!G227</f>
        <v>122408.90511191654</v>
      </c>
    </row>
    <row r="138" spans="1:7" s="9" customFormat="1" ht="12">
      <c r="A138" s="166" t="s">
        <v>227</v>
      </c>
      <c r="B138" s="165"/>
      <c r="C138" s="165"/>
      <c r="D138" s="165">
        <f>+D137-FLUJO_DE_CAJA_PROYECTO!D230</f>
        <v>-109.99999995644794</v>
      </c>
      <c r="E138" s="165">
        <f>+E137-FLUJO_DE_CAJA_PROYECTO!E230</f>
        <v>3749.6419293197505</v>
      </c>
      <c r="F138" s="165">
        <f>+F137-FLUJO_DE_CAJA_PROYECTO!F230</f>
        <v>1803.6880294166058</v>
      </c>
      <c r="G138" s="165">
        <f>+G137-FLUJO_DE_CAJA_PROYECTO!G230</f>
        <v>26.484257009622524</v>
      </c>
    </row>
    <row r="139" spans="1:7" s="9" customFormat="1" ht="12">
      <c r="A139" s="166" t="s">
        <v>274</v>
      </c>
      <c r="B139" s="165"/>
      <c r="C139" s="165"/>
      <c r="D139" s="197">
        <f>+D137-D128</f>
        <v>1874.8209647091808</v>
      </c>
      <c r="E139" s="197">
        <f>+E137-E128</f>
        <v>2776.664979582285</v>
      </c>
      <c r="F139" s="197">
        <f>+F137-F128</f>
        <v>2468.4568010368034</v>
      </c>
      <c r="G139" s="197">
        <f>+G137-G128</f>
        <v>5666.32588732944</v>
      </c>
    </row>
    <row r="140" spans="1:7" s="9" customFormat="1" ht="12">
      <c r="A140" s="8"/>
      <c r="C140" s="8"/>
      <c r="D140" s="8"/>
      <c r="E140" s="8"/>
      <c r="F140" s="8"/>
      <c r="G140" s="8"/>
    </row>
    <row r="141" spans="1:7" s="9" customFormat="1" ht="12">
      <c r="A141" s="8"/>
      <c r="C141" s="8"/>
      <c r="D141" s="8"/>
      <c r="E141" s="8"/>
      <c r="F141" s="8"/>
      <c r="G141" s="8"/>
    </row>
    <row r="142" spans="1:7" s="9" customFormat="1" ht="12.75">
      <c r="A142" s="180" t="s">
        <v>190</v>
      </c>
      <c r="C142" s="33"/>
      <c r="D142" s="33"/>
      <c r="E142" s="33"/>
      <c r="F142" s="33"/>
      <c r="G142" s="33"/>
    </row>
    <row r="143" spans="1:7" s="9" customFormat="1" ht="15">
      <c r="A143" s="189" t="s">
        <v>191</v>
      </c>
      <c r="C143" s="33"/>
      <c r="D143" s="98">
        <f>+FLUJO_DE_CAJA_PROYECTO!D145</f>
        <v>995.8380279938007</v>
      </c>
      <c r="E143" s="98">
        <f>+FLUJO_DE_CAJA_PROYECTO!E145</f>
        <v>6344.819729115061</v>
      </c>
      <c r="F143" s="98">
        <f>+FLUJO_DE_CAJA_PROYECTO!F145</f>
        <v>14358.560243676424</v>
      </c>
      <c r="G143" s="98">
        <f>+FLUJO_DE_CAJA_PROYECTO!G145</f>
        <v>23952.526164968225</v>
      </c>
    </row>
    <row r="144" spans="1:7" s="9" customFormat="1" ht="15">
      <c r="A144" s="189" t="s">
        <v>192</v>
      </c>
      <c r="C144" s="33"/>
      <c r="D144" s="98">
        <f>+FLUJO_DE_CAJA_PROYECTO!D136</f>
        <v>8000</v>
      </c>
      <c r="E144" s="98">
        <f>+FLUJO_DE_CAJA_PROYECTO!E136</f>
        <v>8000</v>
      </c>
      <c r="F144" s="98">
        <f>+FLUJO_DE_CAJA_PROYECTO!F136</f>
        <v>8000</v>
      </c>
      <c r="G144" s="98">
        <f>+FLUJO_DE_CAJA_PROYECTO!G136</f>
        <v>8000</v>
      </c>
    </row>
    <row r="145" spans="1:7" s="9" customFormat="1" ht="15">
      <c r="A145" s="189" t="s">
        <v>193</v>
      </c>
      <c r="C145" s="33"/>
      <c r="D145" s="98">
        <f>-FLUJO_DE_CAJA_PROYECTO!D179</f>
        <v>0</v>
      </c>
      <c r="E145" s="98">
        <f>-FLUJO_DE_CAJA_PROYECTO!E179</f>
        <v>0</v>
      </c>
      <c r="F145" s="98">
        <f>-FLUJO_DE_CAJA_PROYECTO!F179</f>
        <v>0</v>
      </c>
      <c r="G145" s="98">
        <f>-FLUJO_DE_CAJA_PROYECTO!G179</f>
        <v>0</v>
      </c>
    </row>
    <row r="146" spans="1:7" s="9" customFormat="1" ht="15">
      <c r="A146" s="189" t="s">
        <v>194</v>
      </c>
      <c r="C146" s="33"/>
      <c r="D146" s="98">
        <f>-D122</f>
        <v>-832.3842332988161</v>
      </c>
      <c r="E146" s="98">
        <f>-E122</f>
        <v>-6330.522115466959</v>
      </c>
      <c r="F146" s="98">
        <f>-F122</f>
        <v>-20334.114325271512</v>
      </c>
      <c r="G146" s="98">
        <f>-G122</f>
        <v>-27644.95809852171</v>
      </c>
    </row>
    <row r="147" spans="1:7" s="9" customFormat="1" ht="15">
      <c r="A147" s="189" t="s">
        <v>195</v>
      </c>
      <c r="C147" s="33"/>
      <c r="D147" s="98">
        <f>-FLUJO_DE_CAJA_PROYECTO!D190</f>
        <v>-8273.453794651432</v>
      </c>
      <c r="E147" s="98">
        <f>-FLUJO_DE_CAJA_PROYECTO!E190</f>
        <v>-7715.546205348568</v>
      </c>
      <c r="F147" s="98">
        <f>-FLUJO_DE_CAJA_PROYECTO!F190</f>
        <v>-121</v>
      </c>
      <c r="G147" s="98">
        <f>-FLUJO_DE_CAJA_PROYECTO!G190</f>
        <v>0</v>
      </c>
    </row>
    <row r="148" spans="1:7" s="9" customFormat="1" ht="15">
      <c r="A148" s="189" t="s">
        <v>196</v>
      </c>
      <c r="C148" s="33"/>
      <c r="D148" s="98">
        <f>+FLUJO_DE_CAJA_PROYECTO!D189</f>
        <v>0</v>
      </c>
      <c r="E148" s="98">
        <f>+FLUJO_DE_CAJA_PROYECTO!E189</f>
        <v>0</v>
      </c>
      <c r="F148" s="98">
        <f>+FLUJO_DE_CAJA_PROYECTO!F189</f>
        <v>0</v>
      </c>
      <c r="G148" s="98">
        <f>+FLUJO_DE_CAJA_PROYECTO!G189</f>
        <v>0</v>
      </c>
    </row>
    <row r="149" spans="1:7" s="9" customFormat="1" ht="12.75">
      <c r="A149" s="32" t="s">
        <v>197</v>
      </c>
      <c r="C149" s="33"/>
      <c r="D149" s="98">
        <f>SUM(D143:D148)</f>
        <v>-109.99999995644703</v>
      </c>
      <c r="E149" s="98">
        <f>SUM(E143:E148)</f>
        <v>298.751408299534</v>
      </c>
      <c r="F149" s="98">
        <f>SUM(F143:F148)</f>
        <v>1903.445918404912</v>
      </c>
      <c r="G149" s="98">
        <f>SUM(G143:G148)</f>
        <v>4307.568066446514</v>
      </c>
    </row>
    <row r="150" spans="1:7" s="9" customFormat="1" ht="12.75">
      <c r="A150" s="180" t="s">
        <v>200</v>
      </c>
      <c r="C150" s="33"/>
      <c r="D150" s="98">
        <f>+FLUJO_DE_CAJA_PROYECTO!D237-D149</f>
        <v>109.99999995644703</v>
      </c>
      <c r="E150" s="98">
        <f>+FLUJO_DE_CAJA_PROYECTO!E237-E149</f>
        <v>9.86062218544248E-08</v>
      </c>
      <c r="F150" s="98">
        <f>+FLUJO_DE_CAJA_PROYECTO!F237-F149</f>
        <v>3.2960633689071983E-07</v>
      </c>
      <c r="G150" s="98">
        <f>+FLUJO_DE_CAJA_PROYECTO!G237-G149</f>
        <v>118088.09492029341</v>
      </c>
    </row>
    <row r="151" spans="1:7" s="9" customFormat="1" ht="15">
      <c r="A151" s="190" t="s">
        <v>417</v>
      </c>
      <c r="C151" s="33"/>
      <c r="D151" s="33">
        <f>+D149+FLUJO_DE_CAJA_PROYECTO!D227</f>
        <v>-109.99999995644703</v>
      </c>
      <c r="E151" s="33">
        <f>+E149+FLUJO_DE_CAJA_PROYECTO!E227</f>
        <v>298.751408299534</v>
      </c>
      <c r="F151" s="33">
        <f>+F149+FLUJO_DE_CAJA_PROYECTO!F227</f>
        <v>1903.445918404912</v>
      </c>
      <c r="G151" s="33">
        <f>+G149+FLUJO_DE_CAJA_PROYECTO!G227</f>
        <v>122395.66298008352</v>
      </c>
    </row>
    <row r="152" spans="1:7" s="9" customFormat="1" ht="15">
      <c r="A152" s="190"/>
      <c r="C152" s="33"/>
      <c r="D152" s="33"/>
      <c r="E152" s="33"/>
      <c r="F152" s="33"/>
      <c r="G152" s="33"/>
    </row>
    <row r="153" spans="1:7" s="9" customFormat="1" ht="12">
      <c r="A153" s="8"/>
      <c r="C153" s="8"/>
      <c r="D153" s="8"/>
      <c r="E153" s="8"/>
      <c r="F153" s="8"/>
      <c r="G153" s="8"/>
    </row>
    <row r="154" spans="1:7" s="9" customFormat="1" ht="12.75">
      <c r="A154" s="180" t="s">
        <v>418</v>
      </c>
      <c r="C154" s="33"/>
      <c r="D154" s="98"/>
      <c r="E154" s="98"/>
      <c r="F154" s="98"/>
      <c r="G154" s="98"/>
    </row>
    <row r="155" spans="1:7" s="9" customFormat="1" ht="12.75">
      <c r="A155" s="180" t="s">
        <v>247</v>
      </c>
      <c r="C155" s="33"/>
      <c r="D155" s="98">
        <f aca="true" t="shared" si="3" ref="D155:G157">+D85</f>
        <v>6592.863417347893</v>
      </c>
      <c r="E155" s="98">
        <f t="shared" si="3"/>
        <v>12556.628939579048</v>
      </c>
      <c r="F155" s="98">
        <f t="shared" si="3"/>
        <v>20523.615694507895</v>
      </c>
      <c r="G155" s="98">
        <f t="shared" si="3"/>
        <v>29279.107855154893</v>
      </c>
    </row>
    <row r="156" spans="1:7" s="9" customFormat="1" ht="12.75">
      <c r="A156" s="32" t="s">
        <v>248</v>
      </c>
      <c r="C156" s="33"/>
      <c r="D156" s="98">
        <f t="shared" si="3"/>
        <v>-2472.32378150546</v>
      </c>
      <c r="E156" s="98">
        <f t="shared" si="3"/>
        <v>-4708.735852342143</v>
      </c>
      <c r="F156" s="98">
        <f t="shared" si="3"/>
        <v>-7696.35588544046</v>
      </c>
      <c r="G156" s="98">
        <f t="shared" si="3"/>
        <v>-10979.665445683084</v>
      </c>
    </row>
    <row r="157" spans="1:7" s="9" customFormat="1" ht="12.75">
      <c r="A157" s="32" t="s">
        <v>249</v>
      </c>
      <c r="C157" s="33"/>
      <c r="D157" s="98">
        <f t="shared" si="3"/>
        <v>8000</v>
      </c>
      <c r="E157" s="98">
        <f t="shared" si="3"/>
        <v>8000</v>
      </c>
      <c r="F157" s="98">
        <f t="shared" si="3"/>
        <v>8000</v>
      </c>
      <c r="G157" s="98">
        <f t="shared" si="3"/>
        <v>8000</v>
      </c>
    </row>
    <row r="158" spans="1:7" s="9" customFormat="1" ht="12.75">
      <c r="A158" s="32" t="s">
        <v>250</v>
      </c>
      <c r="C158" s="33"/>
      <c r="D158" s="98">
        <f>+D122</f>
        <v>832.3842332988161</v>
      </c>
      <c r="E158" s="98">
        <f>+E122</f>
        <v>6330.522115466959</v>
      </c>
      <c r="F158" s="98">
        <f>+F122</f>
        <v>20334.114325271512</v>
      </c>
      <c r="G158" s="98">
        <f>+G122</f>
        <v>27644.95809852171</v>
      </c>
    </row>
    <row r="159" spans="1:7" s="9" customFormat="1" ht="12.75">
      <c r="A159" s="32" t="s">
        <v>251</v>
      </c>
      <c r="C159" s="33"/>
      <c r="D159" s="98"/>
      <c r="E159" s="98"/>
      <c r="F159" s="98"/>
      <c r="G159" s="98"/>
    </row>
    <row r="160" spans="1:7" s="9" customFormat="1" ht="15">
      <c r="A160" s="190" t="s">
        <v>252</v>
      </c>
      <c r="C160" s="33"/>
      <c r="D160" s="98">
        <f aca="true" t="shared" si="4" ref="D160:G161">+D91</f>
        <v>0</v>
      </c>
      <c r="E160" s="98">
        <f t="shared" si="4"/>
        <v>0</v>
      </c>
      <c r="F160" s="98">
        <f t="shared" si="4"/>
        <v>0</v>
      </c>
      <c r="G160" s="98">
        <f t="shared" si="4"/>
        <v>0</v>
      </c>
    </row>
    <row r="161" spans="1:7" s="9" customFormat="1" ht="15">
      <c r="A161" s="190" t="s">
        <v>253</v>
      </c>
      <c r="C161" s="33"/>
      <c r="D161" s="98">
        <f t="shared" si="4"/>
        <v>0</v>
      </c>
      <c r="E161" s="98">
        <f t="shared" si="4"/>
        <v>0</v>
      </c>
      <c r="F161" s="98">
        <f t="shared" si="4"/>
        <v>0</v>
      </c>
      <c r="G161" s="98">
        <f t="shared" si="4"/>
        <v>118088.094913637</v>
      </c>
    </row>
    <row r="162" spans="1:7" s="9" customFormat="1" ht="15">
      <c r="A162" s="169" t="s">
        <v>412</v>
      </c>
      <c r="C162" s="33"/>
      <c r="D162" s="98">
        <f>+D155-D156+D157-D158+D160+D161</f>
        <v>16232.802965554536</v>
      </c>
      <c r="E162" s="98">
        <f>+E155-E156+E157-E158+E160+E161</f>
        <v>18934.84267645423</v>
      </c>
      <c r="F162" s="98">
        <f>+F155-F156+F157-F158+F160+F161</f>
        <v>15885.857254676841</v>
      </c>
      <c r="G162" s="98">
        <f>+G155-G156+G157-G158+G160+G161</f>
        <v>138701.91011595327</v>
      </c>
    </row>
    <row r="163" spans="1:7" s="9" customFormat="1" ht="15">
      <c r="A163" s="169" t="s">
        <v>200</v>
      </c>
      <c r="C163" s="33"/>
      <c r="D163" s="98">
        <f>+D162-D41</f>
        <v>2959.826598301741</v>
      </c>
      <c r="E163" s="98">
        <f>+E162-E41</f>
        <v>10390.448654520358</v>
      </c>
      <c r="F163" s="98">
        <f>+F162-F41</f>
        <v>14727.942999060411</v>
      </c>
      <c r="G163" s="98">
        <f>+G162-G41</f>
        <v>134407.5841702128</v>
      </c>
    </row>
    <row r="164" spans="1:7" s="9" customFormat="1" ht="15">
      <c r="A164" s="190"/>
      <c r="C164" s="33"/>
      <c r="D164" s="33">
        <f>+D163/0.375</f>
        <v>7892.870928804642</v>
      </c>
      <c r="E164" s="33">
        <f>+E163/0.375</f>
        <v>27707.863078720955</v>
      </c>
      <c r="F164" s="33">
        <f>+F163/0.375</f>
        <v>39274.5146641611</v>
      </c>
      <c r="G164" s="33">
        <f>+G163/0.375</f>
        <v>358420.22445390077</v>
      </c>
    </row>
    <row r="165" spans="1:7" s="9" customFormat="1" ht="15">
      <c r="A165" s="169" t="s">
        <v>419</v>
      </c>
      <c r="C165" s="33"/>
      <c r="D165" s="33"/>
      <c r="E165" s="33"/>
      <c r="F165" s="33"/>
      <c r="G165" s="33"/>
    </row>
    <row r="166" spans="1:7" s="9" customFormat="1" ht="15">
      <c r="A166" s="186" t="s">
        <v>383</v>
      </c>
      <c r="C166" s="33"/>
      <c r="D166" s="33">
        <f>+D155</f>
        <v>6592.863417347893</v>
      </c>
      <c r="E166" s="33">
        <f>+E155</f>
        <v>12556.628939579048</v>
      </c>
      <c r="F166" s="33">
        <f>+F155</f>
        <v>20523.615694507895</v>
      </c>
      <c r="G166" s="33">
        <f>+G155</f>
        <v>29279.107855154893</v>
      </c>
    </row>
    <row r="167" spans="1:7" s="9" customFormat="1" ht="15">
      <c r="A167" s="186" t="s">
        <v>387</v>
      </c>
      <c r="C167" s="33"/>
      <c r="D167" s="33">
        <f>-D156</f>
        <v>2472.32378150546</v>
      </c>
      <c r="E167" s="33">
        <f>-E156</f>
        <v>4708.735852342143</v>
      </c>
      <c r="F167" s="33">
        <f>-F156</f>
        <v>7696.35588544046</v>
      </c>
      <c r="G167" s="33">
        <f>-G156</f>
        <v>10979.665445683084</v>
      </c>
    </row>
    <row r="168" spans="1:7" s="9" customFormat="1" ht="15">
      <c r="A168" s="186" t="s">
        <v>384</v>
      </c>
      <c r="C168" s="33"/>
      <c r="D168" s="33">
        <f>+D157</f>
        <v>8000</v>
      </c>
      <c r="E168" s="33">
        <f>+E157</f>
        <v>8000</v>
      </c>
      <c r="F168" s="33">
        <f>+F157</f>
        <v>8000</v>
      </c>
      <c r="G168" s="33">
        <f>+G157</f>
        <v>8000</v>
      </c>
    </row>
    <row r="169" spans="1:7" s="9" customFormat="1" ht="15">
      <c r="A169" s="186" t="s">
        <v>385</v>
      </c>
      <c r="C169" s="33"/>
      <c r="D169" s="33">
        <f aca="true" t="shared" si="5" ref="D169:G170">-D158</f>
        <v>-832.3842332988161</v>
      </c>
      <c r="E169" s="33">
        <f t="shared" si="5"/>
        <v>-6330.522115466959</v>
      </c>
      <c r="F169" s="33">
        <f t="shared" si="5"/>
        <v>-20334.114325271512</v>
      </c>
      <c r="G169" s="33">
        <f t="shared" si="5"/>
        <v>-27644.95809852171</v>
      </c>
    </row>
    <row r="170" spans="1:7" s="9" customFormat="1" ht="15">
      <c r="A170" s="186" t="s">
        <v>386</v>
      </c>
      <c r="C170" s="33"/>
      <c r="D170" s="33">
        <f t="shared" si="5"/>
        <v>0</v>
      </c>
      <c r="E170" s="33">
        <f t="shared" si="5"/>
        <v>0</v>
      </c>
      <c r="F170" s="33">
        <f t="shared" si="5"/>
        <v>0</v>
      </c>
      <c r="G170" s="33">
        <f t="shared" si="5"/>
        <v>0</v>
      </c>
    </row>
    <row r="171" spans="1:7" s="9" customFormat="1" ht="15">
      <c r="A171" s="186" t="s">
        <v>388</v>
      </c>
      <c r="C171" s="33"/>
      <c r="D171" s="33"/>
      <c r="E171" s="33"/>
      <c r="F171" s="33"/>
      <c r="G171" s="33">
        <f>+FLUJO_DE_CAJA_PROYECTO!G227</f>
        <v>118088.094913637</v>
      </c>
    </row>
    <row r="172" spans="1:7" s="9" customFormat="1" ht="15">
      <c r="A172" s="186" t="s">
        <v>412</v>
      </c>
      <c r="C172" s="33"/>
      <c r="D172" s="33">
        <f>SUM(D166:D171)</f>
        <v>16232.802965554536</v>
      </c>
      <c r="E172" s="33">
        <f>SUM(E166:E171)</f>
        <v>18934.84267645423</v>
      </c>
      <c r="F172" s="33">
        <f>SUM(F166:F171)</f>
        <v>15885.857254676841</v>
      </c>
      <c r="G172" s="33">
        <f>SUM(G166:G171)</f>
        <v>138701.91011595327</v>
      </c>
    </row>
    <row r="173" spans="1:7" s="9" customFormat="1" ht="15">
      <c r="A173" s="169" t="s">
        <v>517</v>
      </c>
      <c r="C173" s="33"/>
      <c r="D173" s="33"/>
      <c r="E173" s="33"/>
      <c r="F173" s="33"/>
      <c r="G173" s="33"/>
    </row>
    <row r="174" spans="1:7" s="9" customFormat="1" ht="15">
      <c r="A174" s="190"/>
      <c r="C174" s="33"/>
      <c r="D174" s="33"/>
      <c r="E174" s="33"/>
      <c r="F174" s="33"/>
      <c r="G174" s="33"/>
    </row>
    <row r="175" spans="1:7" s="9" customFormat="1" ht="15">
      <c r="A175" s="169" t="s">
        <v>262</v>
      </c>
      <c r="C175" s="33"/>
      <c r="D175" s="33"/>
      <c r="E175" s="33"/>
      <c r="F175" s="33"/>
      <c r="G175" s="33"/>
    </row>
    <row r="176" spans="1:7" s="9" customFormat="1" ht="25.5">
      <c r="A176" s="8" t="s">
        <v>213</v>
      </c>
      <c r="B176" s="93" t="s">
        <v>226</v>
      </c>
      <c r="C176" s="98">
        <f>-FLUJO_DE_CAJA_PROYECTO!C50</f>
        <v>-24000</v>
      </c>
      <c r="D176" s="98">
        <f>-FLUJO_DE_CAJA_PROYECTO!D50</f>
        <v>0</v>
      </c>
      <c r="E176" s="98">
        <f>-FLUJO_DE_CAJA_PROYECTO!E50</f>
        <v>0</v>
      </c>
      <c r="F176" s="98">
        <f>-FLUJO_DE_CAJA_PROYECTO!F50</f>
        <v>0</v>
      </c>
      <c r="G176" s="98">
        <f>-FLUJO_DE_CAJA_PROYECTO!G50</f>
        <v>0</v>
      </c>
    </row>
    <row r="177" spans="1:7" s="9" customFormat="1" ht="12.75">
      <c r="A177" s="8" t="s">
        <v>214</v>
      </c>
      <c r="B177" s="34" t="s">
        <v>215</v>
      </c>
      <c r="C177" s="98">
        <f>+FLUJO_DE_CAJA_PROYECTO!C119</f>
        <v>0</v>
      </c>
      <c r="D177" s="98">
        <f>+FLUJO_DE_CAJA_PROYECTO!D119</f>
        <v>50518.07955081923</v>
      </c>
      <c r="E177" s="98">
        <f>+FLUJO_DE_CAJA_PROYECTO!E119</f>
        <v>67165.81980747901</v>
      </c>
      <c r="F177" s="98">
        <f>+FLUJO_DE_CAJA_PROYECTO!F119</f>
        <v>86219.88695575621</v>
      </c>
      <c r="G177" s="98">
        <f>+FLUJO_DE_CAJA_PROYECTO!G119</f>
        <v>108168.183472601</v>
      </c>
    </row>
    <row r="178" spans="1:7" s="9" customFormat="1" ht="12.75">
      <c r="A178" s="8" t="s">
        <v>216</v>
      </c>
      <c r="B178" s="8" t="s">
        <v>219</v>
      </c>
      <c r="C178" s="98">
        <f>-FLUJO_DE_CAJA_PROYECTO!C121-FLUJO_DE_CAJA_PROYECTO!C129</f>
        <v>0</v>
      </c>
      <c r="D178" s="98">
        <f>-FLUJO_DE_CAJA_PROYECTO!D121-FLUJO_DE_CAJA_PROYECTO!D129</f>
        <v>-43925.21613347134</v>
      </c>
      <c r="E178" s="98">
        <f>-FLUJO_DE_CAJA_PROYECTO!E121-FLUJO_DE_CAJA_PROYECTO!E129</f>
        <v>-54609.19086789997</v>
      </c>
      <c r="F178" s="98">
        <f>-FLUJO_DE_CAJA_PROYECTO!F121-FLUJO_DE_CAJA_PROYECTO!F129</f>
        <v>-65696.27126124832</v>
      </c>
      <c r="G178" s="98">
        <f>-FLUJO_DE_CAJA_PROYECTO!G121-FLUJO_DE_CAJA_PROYECTO!G129</f>
        <v>-78889.0756174461</v>
      </c>
    </row>
    <row r="179" spans="1:7" s="9" customFormat="1" ht="12.75">
      <c r="A179" s="8" t="s">
        <v>246</v>
      </c>
      <c r="B179" s="8"/>
      <c r="C179" s="98"/>
      <c r="D179" s="98">
        <f>+D177+D178</f>
        <v>6592.863417347893</v>
      </c>
      <c r="E179" s="98">
        <f>+E177+E178</f>
        <v>12556.628939579045</v>
      </c>
      <c r="F179" s="98">
        <f>+F177+F178</f>
        <v>20523.6156945079</v>
      </c>
      <c r="G179" s="98">
        <f>+G177+G178</f>
        <v>29279.1078551549</v>
      </c>
    </row>
    <row r="180" spans="1:7" s="9" customFormat="1" ht="12.75">
      <c r="A180" s="8" t="s">
        <v>217</v>
      </c>
      <c r="B180" s="34" t="s">
        <v>218</v>
      </c>
      <c r="C180" s="98">
        <f>+FLUJO_DE_CAJA_PROYECTO!C227</f>
        <v>0</v>
      </c>
      <c r="D180" s="98">
        <f>+FLUJO_DE_CAJA_PROYECTO!D227</f>
        <v>0</v>
      </c>
      <c r="E180" s="98">
        <f>+FLUJO_DE_CAJA_PROYECTO!E227</f>
        <v>0</v>
      </c>
      <c r="F180" s="98">
        <f>+FLUJO_DE_CAJA_PROYECTO!F227</f>
        <v>0</v>
      </c>
      <c r="G180" s="98">
        <f>+FLUJO_DE_CAJA_PROYECTO!G227</f>
        <v>118088.094913637</v>
      </c>
    </row>
    <row r="181" spans="1:7" s="9" customFormat="1" ht="12.75">
      <c r="A181" s="8" t="s">
        <v>220</v>
      </c>
      <c r="B181" s="34" t="s">
        <v>221</v>
      </c>
      <c r="C181" s="98">
        <f>-FLUJO_DE_CAJA_PROYECTO!C144</f>
        <v>0</v>
      </c>
      <c r="D181" s="98">
        <f>-FLUJO_DE_CAJA_PROYECTO!D144</f>
        <v>-597.5028167962804</v>
      </c>
      <c r="E181" s="98">
        <f>-FLUJO_DE_CAJA_PROYECTO!E144</f>
        <v>-3806.8918374690365</v>
      </c>
      <c r="F181" s="98">
        <f>-FLUJO_DE_CAJA_PROYECTO!F144</f>
        <v>-8615.136146205856</v>
      </c>
      <c r="G181" s="98">
        <f>-FLUJO_DE_CAJA_PROYECTO!G144</f>
        <v>-14371.515698980937</v>
      </c>
    </row>
    <row r="182" spans="1:7" s="9" customFormat="1" ht="24">
      <c r="A182" s="92" t="s">
        <v>222</v>
      </c>
      <c r="B182" s="34" t="s">
        <v>223</v>
      </c>
      <c r="C182" s="98">
        <f>+FLUJO_DE_CAJA_PROYECTO!C189-FLUJO_DE_CAJA_PROYECTO!C190-FLUJO_DE_CAJA_PROYECTO!C180</f>
        <v>16110</v>
      </c>
      <c r="D182" s="98">
        <f>+FLUJO_DE_CAJA_PROYECTO!D189-FLUJO_DE_CAJA_PROYECTO!D190-FLUJO_DE_CAJA_PROYECTO!D180</f>
        <v>-13272.976367209245</v>
      </c>
      <c r="E182" s="98">
        <f>+FLUJO_DE_CAJA_PROYECTO!E189-FLUJO_DE_CAJA_PROYECTO!E190-FLUJO_DE_CAJA_PROYECTO!E180</f>
        <v>-10120.463578343519</v>
      </c>
      <c r="F182" s="98">
        <f>+FLUJO_DE_CAJA_PROYECTO!F189-FLUJO_DE_CAJA_PROYECTO!F190-FLUJO_DE_CAJA_PROYECTO!F180</f>
        <v>-156.31235155471003</v>
      </c>
      <c r="G182" s="98">
        <f>+FLUJO_DE_CAJA_PROYECTO!G189-FLUJO_DE_CAJA_PROYECTO!G190-FLUJO_DE_CAJA_PROYECTO!G180</f>
        <v>0</v>
      </c>
    </row>
    <row r="183" spans="1:7" s="9" customFormat="1" ht="12.75">
      <c r="A183" s="92" t="s">
        <v>224</v>
      </c>
      <c r="B183" s="34" t="s">
        <v>225</v>
      </c>
      <c r="C183" s="98">
        <f>+FLUJO_DE_CAJA_PROYECTO!C50</f>
        <v>24000</v>
      </c>
      <c r="D183" s="98">
        <f>+FLUJO_DE_CAJA_PROYECTO!D50</f>
        <v>0</v>
      </c>
      <c r="E183" s="98">
        <f>+FLUJO_DE_CAJA_PROYECTO!E50</f>
        <v>0</v>
      </c>
      <c r="F183" s="98">
        <f>+FLUJO_DE_CAJA_PROYECTO!F50</f>
        <v>0</v>
      </c>
      <c r="G183" s="98">
        <f>+FLUJO_DE_CAJA_PROYECTO!G50</f>
        <v>0</v>
      </c>
    </row>
    <row r="184" spans="1:7" s="9" customFormat="1" ht="15">
      <c r="A184" s="190" t="s">
        <v>420</v>
      </c>
      <c r="C184" s="98">
        <f>SUM(C176:C183)</f>
        <v>16110</v>
      </c>
      <c r="D184" s="98">
        <f>SUM(D176:D183)</f>
        <v>-684.7523493097397</v>
      </c>
      <c r="E184" s="98">
        <f>SUM(E176:E183)</f>
        <v>11185.902463345534</v>
      </c>
      <c r="F184" s="98">
        <f>SUM(F176:F183)</f>
        <v>32275.782891255232</v>
      </c>
      <c r="G184" s="98">
        <f>SUM(G176:G183)</f>
        <v>162274.79492496586</v>
      </c>
    </row>
    <row r="185" spans="1:7" s="9" customFormat="1" ht="15">
      <c r="A185" s="190" t="s">
        <v>412</v>
      </c>
      <c r="C185" s="98"/>
      <c r="D185" s="98">
        <f>+D41-D184</f>
        <v>13957.728716562535</v>
      </c>
      <c r="E185" s="98">
        <f>+E41-E184</f>
        <v>-2641.508441411661</v>
      </c>
      <c r="F185" s="98">
        <f>+F41-F184</f>
        <v>-31117.868635638803</v>
      </c>
      <c r="G185" s="98">
        <f>+G41-G184</f>
        <v>-157980.46897922538</v>
      </c>
    </row>
    <row r="186" spans="1:7" s="9" customFormat="1" ht="12.75">
      <c r="A186" s="32"/>
      <c r="C186" s="33"/>
      <c r="D186" s="8"/>
      <c r="E186" s="8"/>
      <c r="F186" s="8"/>
      <c r="G186" s="8"/>
    </row>
    <row r="187" spans="1:7" s="9" customFormat="1" ht="12">
      <c r="A187" s="8"/>
      <c r="C187" s="8"/>
      <c r="D187" s="8"/>
      <c r="E187" s="8"/>
      <c r="F187" s="8"/>
      <c r="G187" s="8"/>
    </row>
    <row r="188" spans="1:7" s="9" customFormat="1" ht="14.25" customHeight="1">
      <c r="A188" s="8" t="s">
        <v>265</v>
      </c>
      <c r="C188" s="8"/>
      <c r="D188" s="165">
        <f>+FLUJO_DE_CAJA_PROYECTO!D91</f>
        <v>110</v>
      </c>
      <c r="E188" s="165">
        <f>+FLUJO_DE_CAJA_PROYECTO!E91</f>
        <v>121</v>
      </c>
      <c r="F188" s="165">
        <f>+FLUJO_DE_CAJA_PROYECTO!F91</f>
        <v>150</v>
      </c>
      <c r="G188" s="165">
        <f>+FLUJO_DE_CAJA_PROYECTO!G91</f>
        <v>150</v>
      </c>
    </row>
    <row r="189" spans="1:7" s="9" customFormat="1" ht="14.25" customHeight="1">
      <c r="A189" s="8" t="s">
        <v>266</v>
      </c>
      <c r="C189" s="8"/>
      <c r="D189" s="165">
        <f>+FLUJO_DE_CAJA_PROYECTO!D140</f>
        <v>0</v>
      </c>
      <c r="E189" s="165">
        <f>+FLUJO_DE_CAJA_PROYECTO!E140</f>
        <v>0</v>
      </c>
      <c r="F189" s="165">
        <f>+FLUJO_DE_CAJA_PROYECTO!F140</f>
        <v>2485.3930469290935</v>
      </c>
      <c r="G189" s="165">
        <f>+FLUJO_DE_CAJA_PROYECTO!G140</f>
        <v>9044.93400879427</v>
      </c>
    </row>
    <row r="190" spans="1:7" s="9" customFormat="1" ht="14.25" customHeight="1">
      <c r="A190" s="8"/>
      <c r="C190" s="8"/>
      <c r="D190" s="165">
        <f>+D194/0.375</f>
        <v>5292.85590577501</v>
      </c>
      <c r="E190" s="165"/>
      <c r="F190" s="165"/>
      <c r="G190" s="165"/>
    </row>
    <row r="191" spans="1:7" s="9" customFormat="1" ht="12">
      <c r="A191" s="8" t="s">
        <v>258</v>
      </c>
      <c r="C191" s="8"/>
      <c r="D191" s="8"/>
      <c r="E191" s="8"/>
      <c r="F191" s="8"/>
      <c r="G191" s="8"/>
    </row>
    <row r="192" spans="1:7" s="9" customFormat="1" ht="12">
      <c r="A192" s="8" t="s">
        <v>259</v>
      </c>
      <c r="C192" s="8"/>
      <c r="D192" s="165">
        <f>+D41</f>
        <v>13272.976367252795</v>
      </c>
      <c r="E192" s="165">
        <f>+E41</f>
        <v>8544.394021933873</v>
      </c>
      <c r="F192" s="165">
        <f>+F41</f>
        <v>1157.9142556164297</v>
      </c>
      <c r="G192" s="165">
        <f>+G41</f>
        <v>4294.325945740482</v>
      </c>
    </row>
    <row r="193" spans="1:7" s="9" customFormat="1" ht="12">
      <c r="A193" s="8" t="s">
        <v>260</v>
      </c>
      <c r="C193" s="8"/>
      <c r="D193" s="165">
        <f>+D128</f>
        <v>11288.155402543616</v>
      </c>
      <c r="E193" s="165">
        <f>+E128</f>
        <v>9517.370971769946</v>
      </c>
      <c r="F193" s="165">
        <f>+F128</f>
        <v>493.1454837959245</v>
      </c>
      <c r="G193" s="165">
        <f>+G128</f>
        <v>116742.5792245871</v>
      </c>
    </row>
    <row r="194" spans="1:7" s="9" customFormat="1" ht="12">
      <c r="A194" s="8" t="s">
        <v>263</v>
      </c>
      <c r="C194" s="104"/>
      <c r="D194" s="165">
        <f>+D192-D193</f>
        <v>1984.820964709179</v>
      </c>
      <c r="E194" s="165">
        <f>+E192-E193</f>
        <v>-972.9769498360729</v>
      </c>
      <c r="F194" s="165">
        <f>+F192-F193</f>
        <v>664.7687718205052</v>
      </c>
      <c r="G194" s="165">
        <f>+G192-G193</f>
        <v>-112448.25327884662</v>
      </c>
    </row>
    <row r="195" spans="1:7" s="9" customFormat="1" ht="12">
      <c r="A195" s="8" t="s">
        <v>261</v>
      </c>
      <c r="C195" s="8"/>
      <c r="D195" s="165">
        <f>+D162</f>
        <v>16232.802965554536</v>
      </c>
      <c r="E195" s="165">
        <f>+E162</f>
        <v>18934.84267645423</v>
      </c>
      <c r="F195" s="165">
        <f>+F162</f>
        <v>15885.857254676841</v>
      </c>
      <c r="G195" s="165">
        <f>+G162</f>
        <v>138701.91011595327</v>
      </c>
    </row>
    <row r="196" spans="1:7" s="9" customFormat="1" ht="12">
      <c r="A196" s="8" t="s">
        <v>263</v>
      </c>
      <c r="C196" s="8"/>
      <c r="D196" s="165">
        <f>+D192-D195</f>
        <v>-2959.826598301741</v>
      </c>
      <c r="E196" s="165">
        <f>+E192-E195</f>
        <v>-10390.448654520358</v>
      </c>
      <c r="F196" s="165">
        <f>+F192-F195</f>
        <v>-14727.942999060411</v>
      </c>
      <c r="G196" s="165">
        <f>+G192-G195</f>
        <v>-134407.5841702128</v>
      </c>
    </row>
    <row r="197" spans="1:7" s="9" customFormat="1" ht="12">
      <c r="A197" s="103"/>
      <c r="C197" s="103"/>
      <c r="D197" s="165">
        <f>+D196-FLUJO_DE_CAJA_PROYECTO!D149</f>
        <v>-3069.826598301741</v>
      </c>
      <c r="E197" s="165">
        <f>+E196-FLUJO_DE_CAJA_PROYECTO!E149</f>
        <v>-10500.448654520358</v>
      </c>
      <c r="F197" s="165">
        <f>+F196-FLUJO_DE_CAJA_PROYECTO!F149</f>
        <v>-14848.942999060411</v>
      </c>
      <c r="G197" s="165">
        <f>+G196-FLUJO_DE_CAJA_PROYECTO!G149</f>
        <v>-134557.5841702128</v>
      </c>
    </row>
    <row r="198" spans="1:7" s="9" customFormat="1" ht="12">
      <c r="A198" s="103"/>
      <c r="C198" s="8"/>
      <c r="D198" s="165">
        <f>+D193-D195</f>
        <v>-4944.64756301092</v>
      </c>
      <c r="E198" s="165">
        <f>+E193-E195</f>
        <v>-9417.471704684285</v>
      </c>
      <c r="F198" s="165">
        <f>+F193-F195</f>
        <v>-15392.711770880916</v>
      </c>
      <c r="G198" s="165">
        <f>+G193-G195</f>
        <v>-21959.330891366175</v>
      </c>
    </row>
    <row r="199" spans="1:7" s="9" customFormat="1" ht="12">
      <c r="A199" s="8" t="s">
        <v>264</v>
      </c>
      <c r="C199" s="8"/>
      <c r="D199" s="165"/>
      <c r="E199" s="165"/>
      <c r="F199" s="165"/>
      <c r="G199" s="165"/>
    </row>
    <row r="200" spans="1:7" s="9" customFormat="1" ht="12">
      <c r="A200" s="8" t="s">
        <v>259</v>
      </c>
      <c r="C200" s="8"/>
      <c r="D200" s="195" t="e">
        <f>+#REF!</f>
        <v>#REF!</v>
      </c>
      <c r="E200" s="195" t="e">
        <f>+#REF!</f>
        <v>#REF!</v>
      </c>
      <c r="F200" s="195" t="e">
        <f>+#REF!</f>
        <v>#REF!</v>
      </c>
      <c r="G200" s="195" t="e">
        <f>+#REF!</f>
        <v>#REF!</v>
      </c>
    </row>
    <row r="201" spans="1:7" s="9" customFormat="1" ht="12">
      <c r="A201" s="8" t="s">
        <v>260</v>
      </c>
      <c r="C201" s="8"/>
      <c r="D201" s="195">
        <f>+D149</f>
        <v>-109.99999995644703</v>
      </c>
      <c r="E201" s="195">
        <f>+E149</f>
        <v>298.751408299534</v>
      </c>
      <c r="F201" s="195">
        <f>+F149</f>
        <v>1903.445918404912</v>
      </c>
      <c r="G201" s="195">
        <f>+G149</f>
        <v>4307.568066446514</v>
      </c>
    </row>
    <row r="202" spans="1:7" s="9" customFormat="1" ht="12">
      <c r="A202" s="8" t="s">
        <v>263</v>
      </c>
      <c r="C202" s="8"/>
      <c r="D202" s="195" t="e">
        <f>+D200-D201</f>
        <v>#REF!</v>
      </c>
      <c r="E202" s="195" t="e">
        <f>+E200-E201</f>
        <v>#REF!</v>
      </c>
      <c r="F202" s="195" t="e">
        <f>+F200-F201</f>
        <v>#REF!</v>
      </c>
      <c r="G202" s="195" t="e">
        <f>+G200-G201</f>
        <v>#REF!</v>
      </c>
    </row>
    <row r="203" spans="1:7" s="9" customFormat="1" ht="12.75">
      <c r="A203" s="8" t="s">
        <v>261</v>
      </c>
      <c r="C203" s="33"/>
      <c r="D203" s="195"/>
      <c r="E203" s="195"/>
      <c r="F203" s="195"/>
      <c r="G203" s="195"/>
    </row>
    <row r="204" spans="1:7" s="9" customFormat="1" ht="12">
      <c r="A204" s="8" t="s">
        <v>263</v>
      </c>
      <c r="C204" s="8"/>
      <c r="D204" s="195"/>
      <c r="E204" s="195"/>
      <c r="F204" s="195"/>
      <c r="G204" s="195"/>
    </row>
    <row r="205" spans="1:7" s="9" customFormat="1" ht="12">
      <c r="A205" s="8" t="s">
        <v>262</v>
      </c>
      <c r="C205" s="8"/>
      <c r="D205" s="195">
        <f>+D184</f>
        <v>-684.7523493097397</v>
      </c>
      <c r="E205" s="195">
        <f>+E184</f>
        <v>11185.902463345534</v>
      </c>
      <c r="F205" s="195">
        <f>+F184</f>
        <v>32275.782891255232</v>
      </c>
      <c r="G205" s="195">
        <f>+G184</f>
        <v>162274.79492496586</v>
      </c>
    </row>
    <row r="206" spans="1:7" s="9" customFormat="1" ht="12">
      <c r="A206" s="8" t="s">
        <v>263</v>
      </c>
      <c r="C206" s="8"/>
      <c r="D206" s="195" t="e">
        <f>+D200-D205</f>
        <v>#REF!</v>
      </c>
      <c r="E206" s="195" t="e">
        <f>+E200-E205</f>
        <v>#REF!</v>
      </c>
      <c r="F206" s="195" t="e">
        <f>+F200-F205</f>
        <v>#REF!</v>
      </c>
      <c r="G206" s="195" t="e">
        <f>+G200-G205</f>
        <v>#REF!</v>
      </c>
    </row>
    <row r="207" spans="1:7" s="9" customFormat="1" ht="12">
      <c r="A207" s="148" t="s">
        <v>329</v>
      </c>
      <c r="C207" s="8"/>
      <c r="D207" s="8"/>
      <c r="E207" s="8"/>
      <c r="F207" s="8"/>
      <c r="G207" s="8"/>
    </row>
    <row r="208" spans="1:7" s="9" customFormat="1" ht="12">
      <c r="A208" s="8" t="s">
        <v>330</v>
      </c>
      <c r="C208" s="8"/>
      <c r="D208" s="170">
        <f aca="true" t="shared" si="6" ref="D208:G209">+D35</f>
        <v>995.8380279938007</v>
      </c>
      <c r="E208" s="170">
        <f t="shared" si="6"/>
        <v>6344.819729115061</v>
      </c>
      <c r="F208" s="170">
        <f t="shared" si="6"/>
        <v>14358.560243676424</v>
      </c>
      <c r="G208" s="170">
        <f t="shared" si="6"/>
        <v>23952.526164968225</v>
      </c>
    </row>
    <row r="209" spans="1:7" s="9" customFormat="1" ht="12">
      <c r="A209" s="8" t="s">
        <v>331</v>
      </c>
      <c r="C209" s="8"/>
      <c r="D209" s="170">
        <f t="shared" si="6"/>
        <v>8000</v>
      </c>
      <c r="E209" s="170">
        <f t="shared" si="6"/>
        <v>8000</v>
      </c>
      <c r="F209" s="170">
        <f t="shared" si="6"/>
        <v>8000</v>
      </c>
      <c r="G209" s="170">
        <f t="shared" si="6"/>
        <v>8000</v>
      </c>
    </row>
    <row r="210" spans="1:7" s="9" customFormat="1" ht="12">
      <c r="A210" s="8" t="s">
        <v>332</v>
      </c>
      <c r="C210" s="8"/>
      <c r="D210" s="170">
        <f>+SUM(FLUJO_DE_CAJA_PROYECTO!D131:D137)-SUM(FLUJO_DE_CAJA_PROYECTO!D172:D183)+FLUJO_DE_CAJA_PROYECTO!D124-FLUJO_DE_CAJA_PROYECTO!D165</f>
        <v>11453.400470463042</v>
      </c>
      <c r="E210" s="170">
        <f>+SUM(FLUJO_DE_CAJA_PROYECTO!E131:E137)-SUM(FLUJO_DE_CAJA_PROYECTO!E172:E183)+FLUJO_DE_CAJA_PROYECTO!E124-FLUJO_DE_CAJA_PROYECTO!E165</f>
        <v>42007.894492774794</v>
      </c>
      <c r="F210" s="170">
        <f>+SUM(FLUJO_DE_CAJA_PROYECTO!F131:F137)-SUM(FLUJO_DE_CAJA_PROYECTO!F172:F183)+FLUJO_DE_CAJA_PROYECTO!F124-FLUJO_DE_CAJA_PROYECTO!F165</f>
        <v>51383.52207567826</v>
      </c>
      <c r="G210" s="170">
        <f>+SUM(FLUJO_DE_CAJA_PROYECTO!G131:G137)-SUM(FLUJO_DE_CAJA_PROYECTO!G172:G183)+FLUJO_DE_CAJA_PROYECTO!G124-FLUJO_DE_CAJA_PROYECTO!G165</f>
        <v>55306.33372580343</v>
      </c>
    </row>
    <row r="211" spans="1:7" s="9" customFormat="1" ht="12">
      <c r="A211" s="8" t="s">
        <v>333</v>
      </c>
      <c r="C211" s="8"/>
      <c r="D211" s="170">
        <f>-FLUJO_DE_CAJA_PROYECTO!D190</f>
        <v>-8273.453794651432</v>
      </c>
      <c r="E211" s="170">
        <f>-FLUJO_DE_CAJA_PROYECTO!E190</f>
        <v>-7715.546205348568</v>
      </c>
      <c r="F211" s="170">
        <f>-FLUJO_DE_CAJA_PROYECTO!F190</f>
        <v>-121</v>
      </c>
      <c r="G211" s="170">
        <f>-FLUJO_DE_CAJA_PROYECTO!G190</f>
        <v>0</v>
      </c>
    </row>
    <row r="212" spans="1:7" s="9" customFormat="1" ht="12">
      <c r="A212" s="8" t="s">
        <v>334</v>
      </c>
      <c r="C212" s="8"/>
      <c r="D212" s="170">
        <f>-FLUJO_DE_CAJA_PROYECTO!D51</f>
        <v>0</v>
      </c>
      <c r="E212" s="170">
        <f>-FLUJO_DE_CAJA_PROYECTO!E51</f>
        <v>0</v>
      </c>
      <c r="F212" s="170">
        <f>-FLUJO_DE_CAJA_PROYECTO!F51</f>
        <v>0</v>
      </c>
      <c r="G212" s="170">
        <f>-FLUJO_DE_CAJA_PROYECTO!G51</f>
        <v>0</v>
      </c>
    </row>
    <row r="213" spans="1:7" s="9" customFormat="1" ht="12">
      <c r="A213" s="8" t="s">
        <v>335</v>
      </c>
      <c r="C213" s="8"/>
      <c r="D213" s="170">
        <f>-(D122-C122)</f>
        <v>-832.3842332988161</v>
      </c>
      <c r="E213" s="170">
        <f>-(E122-D122)</f>
        <v>-5498.137882168143</v>
      </c>
      <c r="F213" s="170">
        <f>-(F122-E122)</f>
        <v>-14003.592209804552</v>
      </c>
      <c r="G213" s="170">
        <f>-(G122-F122)</f>
        <v>-7310.843773250199</v>
      </c>
    </row>
    <row r="214" spans="1:7" s="9" customFormat="1" ht="12">
      <c r="A214" s="8" t="s">
        <v>336</v>
      </c>
      <c r="C214" s="8"/>
      <c r="D214" s="170">
        <f>+FLUJO_DE_CAJA_PROYECTO!D189</f>
        <v>0</v>
      </c>
      <c r="E214" s="170">
        <f>+FLUJO_DE_CAJA_PROYECTO!E189</f>
        <v>0</v>
      </c>
      <c r="F214" s="170">
        <f>+FLUJO_DE_CAJA_PROYECTO!F189</f>
        <v>0</v>
      </c>
      <c r="G214" s="170">
        <f>+FLUJO_DE_CAJA_PROYECTO!G189</f>
        <v>0</v>
      </c>
    </row>
    <row r="215" spans="1:7" s="9" customFormat="1" ht="12">
      <c r="A215" s="8" t="s">
        <v>337</v>
      </c>
      <c r="C215" s="8"/>
      <c r="D215" s="170">
        <v>0</v>
      </c>
      <c r="E215" s="170">
        <v>0</v>
      </c>
      <c r="F215" s="170">
        <v>0</v>
      </c>
      <c r="G215" s="170">
        <v>0</v>
      </c>
    </row>
    <row r="216" spans="1:7" s="9" customFormat="1" ht="12">
      <c r="A216" s="8" t="s">
        <v>338</v>
      </c>
      <c r="C216" s="8"/>
      <c r="D216" s="170"/>
      <c r="E216" s="170"/>
      <c r="F216" s="170"/>
      <c r="G216" s="170"/>
    </row>
    <row r="217" spans="1:7" s="9" customFormat="1" ht="12.75">
      <c r="A217" s="32"/>
      <c r="C217" s="33"/>
      <c r="D217" s="198">
        <f>SUM(D208:D216)</f>
        <v>11343.400470506593</v>
      </c>
      <c r="E217" s="198">
        <f>SUM(E208:E216)</f>
        <v>43139.03013437314</v>
      </c>
      <c r="F217" s="198">
        <f>SUM(F208:F216)</f>
        <v>59617.49010955013</v>
      </c>
      <c r="G217" s="198">
        <f>SUM(G208:G216)</f>
        <v>79948.01611752145</v>
      </c>
    </row>
    <row r="218" spans="1:7" s="9" customFormat="1" ht="12.75">
      <c r="A218" s="32"/>
      <c r="C218" s="33"/>
      <c r="D218" s="198">
        <v>8138.767804704716</v>
      </c>
      <c r="E218" s="198">
        <v>16567.276459980807</v>
      </c>
      <c r="F218" s="198">
        <v>33240.92319225351</v>
      </c>
      <c r="G218" s="198">
        <v>65758.94950683796</v>
      </c>
    </row>
    <row r="219" spans="1:7" s="9" customFormat="1" ht="12">
      <c r="A219" s="8"/>
      <c r="C219" s="8"/>
      <c r="D219" s="8"/>
      <c r="E219" s="8"/>
      <c r="F219" s="8"/>
      <c r="G219" s="8"/>
    </row>
    <row r="220" spans="1:7" s="9" customFormat="1" ht="12">
      <c r="A220" s="8"/>
      <c r="C220" s="8"/>
      <c r="D220" s="8"/>
      <c r="E220" s="8"/>
      <c r="F220" s="8"/>
      <c r="G220" s="8"/>
    </row>
    <row r="221" spans="1:7" s="9" customFormat="1" ht="12">
      <c r="A221" s="8"/>
      <c r="C221" s="8"/>
      <c r="D221" s="8"/>
      <c r="E221" s="8"/>
      <c r="F221" s="8"/>
      <c r="G221" s="8"/>
    </row>
    <row r="222" spans="1:7" s="9" customFormat="1" ht="12">
      <c r="A222" s="8"/>
      <c r="C222" s="8"/>
      <c r="D222" s="8"/>
      <c r="E222" s="8"/>
      <c r="F222" s="8"/>
      <c r="G222" s="8"/>
    </row>
    <row r="223" spans="1:7" s="9" customFormat="1" ht="12">
      <c r="A223" s="8"/>
      <c r="C223" s="8"/>
      <c r="D223" s="8"/>
      <c r="E223" s="8"/>
      <c r="F223" s="8"/>
      <c r="G223" s="8"/>
    </row>
    <row r="224" spans="1:7" s="9" customFormat="1" ht="12">
      <c r="A224" s="8"/>
      <c r="C224" s="8"/>
      <c r="D224" s="8"/>
      <c r="E224" s="8"/>
      <c r="F224" s="8"/>
      <c r="G224" s="8"/>
    </row>
    <row r="225" spans="1:7" s="9" customFormat="1" ht="12">
      <c r="A225" s="8" t="s">
        <v>412</v>
      </c>
      <c r="C225" s="8"/>
      <c r="D225" s="8"/>
      <c r="E225" s="8"/>
      <c r="F225" s="8"/>
      <c r="G225" s="8"/>
    </row>
    <row r="226" spans="1:7" s="9" customFormat="1" ht="12">
      <c r="A226" s="8" t="s">
        <v>472</v>
      </c>
      <c r="C226" s="8"/>
      <c r="D226" s="170">
        <f>D137</f>
        <v>13162.976367252797</v>
      </c>
      <c r="E226" s="170">
        <f>E137</f>
        <v>12294.03595135223</v>
      </c>
      <c r="F226" s="170">
        <f>F137</f>
        <v>2961.602284832728</v>
      </c>
      <c r="G226" s="170">
        <f>G137</f>
        <v>122408.90511191654</v>
      </c>
    </row>
    <row r="227" spans="1:7" s="9" customFormat="1" ht="12">
      <c r="A227" s="8" t="s">
        <v>473</v>
      </c>
      <c r="C227" s="8"/>
      <c r="D227" s="170">
        <f>D137</f>
        <v>13162.976367252797</v>
      </c>
      <c r="E227" s="170">
        <f>E137</f>
        <v>12294.03595135223</v>
      </c>
      <c r="F227" s="170">
        <f>F137</f>
        <v>2961.602284832728</v>
      </c>
      <c r="G227" s="170">
        <f>G137</f>
        <v>122408.90511191654</v>
      </c>
    </row>
    <row r="228" spans="1:7" s="9" customFormat="1" ht="12">
      <c r="A228" s="8" t="s">
        <v>474</v>
      </c>
      <c r="C228" s="8"/>
      <c r="D228" s="170">
        <f>D162</f>
        <v>16232.802965554536</v>
      </c>
      <c r="E228" s="170">
        <f>E162</f>
        <v>18934.84267645423</v>
      </c>
      <c r="F228" s="170">
        <f>F162</f>
        <v>15885.857254676841</v>
      </c>
      <c r="G228" s="170">
        <f>G162</f>
        <v>138701.91011595327</v>
      </c>
    </row>
    <row r="229" spans="1:7" s="9" customFormat="1" ht="12">
      <c r="A229" s="8" t="s">
        <v>475</v>
      </c>
      <c r="C229" s="8"/>
      <c r="D229" s="170">
        <f>D172</f>
        <v>16232.802965554536</v>
      </c>
      <c r="E229" s="170">
        <f>E172</f>
        <v>18934.84267645423</v>
      </c>
      <c r="F229" s="170">
        <f>F172</f>
        <v>15885.857254676841</v>
      </c>
      <c r="G229" s="170">
        <f>G172</f>
        <v>138701.91011595327</v>
      </c>
    </row>
    <row r="230" spans="1:7" s="9" customFormat="1" ht="12">
      <c r="A230" s="8" t="s">
        <v>494</v>
      </c>
      <c r="C230" s="8"/>
      <c r="D230" s="170">
        <f>FLUJO_DE_CAJA_PROYECTO!D230</f>
        <v>13272.976367209245</v>
      </c>
      <c r="E230" s="170">
        <f>FLUJO_DE_CAJA_PROYECTO!E230</f>
        <v>8544.39402203248</v>
      </c>
      <c r="F230" s="170">
        <f>FLUJO_DE_CAJA_PROYECTO!F230</f>
        <v>1157.9142554161222</v>
      </c>
      <c r="G230" s="170">
        <f>FLUJO_DE_CAJA_PROYECTO!G230</f>
        <v>122382.42085490692</v>
      </c>
    </row>
    <row r="231" spans="1:7" s="9" customFormat="1" ht="12">
      <c r="A231" s="8" t="s">
        <v>190</v>
      </c>
      <c r="C231" s="8"/>
      <c r="D231" s="8"/>
      <c r="E231" s="8"/>
      <c r="F231" s="8"/>
      <c r="G231" s="8"/>
    </row>
    <row r="232" spans="1:7" s="9" customFormat="1" ht="12">
      <c r="A232" s="8" t="s">
        <v>476</v>
      </c>
      <c r="C232" s="8"/>
      <c r="D232" s="170">
        <f>D217</f>
        <v>11343.400470506593</v>
      </c>
      <c r="E232" s="170">
        <f>E217</f>
        <v>43139.03013437314</v>
      </c>
      <c r="F232" s="170">
        <f>F217</f>
        <v>59617.49010955013</v>
      </c>
      <c r="G232" s="170">
        <f>G217</f>
        <v>79948.01611752145</v>
      </c>
    </row>
    <row r="233" spans="1:7" s="9" customFormat="1" ht="12">
      <c r="A233" s="8" t="s">
        <v>473</v>
      </c>
      <c r="C233" s="8"/>
      <c r="D233" s="171">
        <f>D149</f>
        <v>-109.99999995644703</v>
      </c>
      <c r="E233" s="171">
        <f>E149</f>
        <v>298.751408299534</v>
      </c>
      <c r="F233" s="171">
        <f>F149</f>
        <v>1903.445918404912</v>
      </c>
      <c r="G233" s="171">
        <f>G149</f>
        <v>4307.568066446514</v>
      </c>
    </row>
    <row r="234" spans="1:7" s="9" customFormat="1" ht="12">
      <c r="A234" s="8" t="s">
        <v>477</v>
      </c>
      <c r="C234" s="8"/>
      <c r="D234" s="171">
        <f>D205</f>
        <v>-684.7523493097397</v>
      </c>
      <c r="E234" s="171">
        <f>E205</f>
        <v>11185.902463345534</v>
      </c>
      <c r="F234" s="171">
        <f>F205</f>
        <v>32275.782891255232</v>
      </c>
      <c r="G234" s="171">
        <f>G205</f>
        <v>162274.79492496586</v>
      </c>
    </row>
    <row r="235" spans="1:7" s="9" customFormat="1" ht="12">
      <c r="A235" s="8" t="s">
        <v>494</v>
      </c>
      <c r="C235" s="8"/>
      <c r="D235" s="143">
        <f>FLUJO_DE_CAJA_PROYECTO!D253</f>
        <v>0</v>
      </c>
      <c r="E235" s="143">
        <f>FLUJO_DE_CAJA_PROYECTO!E253</f>
        <v>298.7514083981402</v>
      </c>
      <c r="F235" s="143">
        <f>FLUJO_DE_CAJA_PROYECTO!F253</f>
        <v>1903.4459187345183</v>
      </c>
      <c r="G235" s="143">
        <f>FLUJO_DE_CAJA_PROYECTO!G253</f>
        <v>122395.66298673993</v>
      </c>
    </row>
    <row r="236" spans="1:7" s="9" customFormat="1" ht="12">
      <c r="A236" s="8"/>
      <c r="C236" s="8"/>
      <c r="D236" s="8"/>
      <c r="E236" s="8"/>
      <c r="F236" s="8"/>
      <c r="G236" s="8"/>
    </row>
    <row r="237" spans="1:7" s="9" customFormat="1" ht="12">
      <c r="A237" s="8"/>
      <c r="C237" s="8"/>
      <c r="D237" s="8"/>
      <c r="E237" s="8"/>
      <c r="F237" s="8"/>
      <c r="G237" s="8"/>
    </row>
    <row r="238" spans="1:7" s="9" customFormat="1" ht="12">
      <c r="A238" s="8" t="s">
        <v>190</v>
      </c>
      <c r="C238" s="171">
        <f>FLUJO_DE_CAJA_PROYECTO!C253</f>
        <v>-24000</v>
      </c>
      <c r="D238" s="171">
        <f>FLUJO_DE_CAJA_PROYECTO!D253</f>
        <v>0</v>
      </c>
      <c r="E238" s="171">
        <f>FLUJO_DE_CAJA_PROYECTO!E253</f>
        <v>298.7514083981402</v>
      </c>
      <c r="F238" s="171">
        <f>FLUJO_DE_CAJA_PROYECTO!F253</f>
        <v>1903.4459187345183</v>
      </c>
      <c r="G238" s="171">
        <f>FLUJO_DE_CAJA_PROYECTO!G253</f>
        <v>122395.66298673993</v>
      </c>
    </row>
    <row r="239" spans="1:7" s="9" customFormat="1" ht="12">
      <c r="A239" s="8" t="s">
        <v>504</v>
      </c>
      <c r="C239" s="171">
        <f>-FLUJO_DE_CAJA_PROYECTO!C189+FLUJO_DE_CAJA_PROYECTO!C190+FLUJO_DE_CAJA_PROYECTO!C180</f>
        <v>-16110</v>
      </c>
      <c r="D239" s="171">
        <f>-FLUJO_DE_CAJA_PROYECTO!D189+FLUJO_DE_CAJA_PROYECTO!D190+FLUJO_DE_CAJA_PROYECTO!D180</f>
        <v>13272.976367209245</v>
      </c>
      <c r="E239" s="171">
        <f>-FLUJO_DE_CAJA_PROYECTO!E189+FLUJO_DE_CAJA_PROYECTO!E190+FLUJO_DE_CAJA_PROYECTO!E180</f>
        <v>10120.463578343519</v>
      </c>
      <c r="F239" s="171">
        <f>-FLUJO_DE_CAJA_PROYECTO!F189+FLUJO_DE_CAJA_PROYECTO!F190+FLUJO_DE_CAJA_PROYECTO!F180</f>
        <v>156.31235155471003</v>
      </c>
      <c r="G239" s="171">
        <f>-FLUJO_DE_CAJA_PROYECTO!G189+FLUJO_DE_CAJA_PROYECTO!G190+FLUJO_DE_CAJA_PROYECTO!G180</f>
        <v>0</v>
      </c>
    </row>
    <row r="240" spans="1:7" s="9" customFormat="1" ht="12">
      <c r="A240" s="8" t="s">
        <v>503</v>
      </c>
      <c r="C240" s="171">
        <f>C239+C238</f>
        <v>-40110</v>
      </c>
      <c r="D240" s="171">
        <f>D239+D238</f>
        <v>13272.976367209245</v>
      </c>
      <c r="E240" s="171">
        <f>E239+E238</f>
        <v>10419.21498674166</v>
      </c>
      <c r="F240" s="171">
        <f>F239+F238</f>
        <v>2059.758270289228</v>
      </c>
      <c r="G240" s="171">
        <f>G239+G238</f>
        <v>122395.66298673993</v>
      </c>
    </row>
    <row r="241" spans="1:7" s="9" customFormat="1" ht="12">
      <c r="A241" s="8"/>
      <c r="C241" s="8"/>
      <c r="D241" s="171"/>
      <c r="E241" s="8"/>
      <c r="F241" s="8"/>
      <c r="G241" s="8"/>
    </row>
    <row r="242" spans="1:7" s="9" customFormat="1" ht="12">
      <c r="A242" s="8" t="s">
        <v>412</v>
      </c>
      <c r="C242" s="171">
        <f>C93</f>
        <v>-40110</v>
      </c>
      <c r="D242" s="171">
        <f>D93</f>
        <v>13272.976367209249</v>
      </c>
      <c r="E242" s="171">
        <f>E93</f>
        <v>8544.394021974867</v>
      </c>
      <c r="F242" s="171">
        <f>F93</f>
        <v>1157.9142554204373</v>
      </c>
      <c r="G242" s="171">
        <f>G93</f>
        <v>122382.42085520469</v>
      </c>
    </row>
    <row r="243" spans="1:7" s="9" customFormat="1" ht="12">
      <c r="A243" s="8" t="s">
        <v>505</v>
      </c>
      <c r="C243" s="171">
        <f>-C38</f>
        <v>0</v>
      </c>
      <c r="D243" s="171">
        <f>-D38</f>
        <v>0</v>
      </c>
      <c r="E243" s="171">
        <f>-E38</f>
        <v>1874.8209647091794</v>
      </c>
      <c r="F243" s="171">
        <f>-F38</f>
        <v>901.8440148731062</v>
      </c>
      <c r="G243" s="171">
        <f>-G38</f>
        <v>13.24213183301626</v>
      </c>
    </row>
    <row r="244" spans="1:7" s="9" customFormat="1" ht="12">
      <c r="A244" s="8" t="s">
        <v>506</v>
      </c>
      <c r="C244" s="171">
        <f>C243+C242</f>
        <v>-40110</v>
      </c>
      <c r="D244" s="171">
        <f>D243+D242</f>
        <v>13272.976367209249</v>
      </c>
      <c r="E244" s="171">
        <f>E243+E242</f>
        <v>10419.214986684046</v>
      </c>
      <c r="F244" s="171">
        <f>F243+F242</f>
        <v>2059.7582702935433</v>
      </c>
      <c r="G244" s="171">
        <f>G243+G242</f>
        <v>122395.66298703771</v>
      </c>
    </row>
    <row r="245" spans="1:7" s="9" customFormat="1" ht="12">
      <c r="A245" s="8" t="s">
        <v>507</v>
      </c>
      <c r="C245" s="171">
        <f>C240-C244</f>
        <v>0</v>
      </c>
      <c r="D245" s="171">
        <f>D240-D244</f>
        <v>0</v>
      </c>
      <c r="E245" s="171">
        <f>E240-E244</f>
        <v>5.761285137850791E-08</v>
      </c>
      <c r="F245" s="171">
        <f>F240-F244</f>
        <v>-4.315097612561658E-09</v>
      </c>
      <c r="G245" s="171">
        <f>G240-G244</f>
        <v>-2.977758413180709E-07</v>
      </c>
    </row>
    <row r="246" spans="1:7" s="9" customFormat="1" ht="12.75" thickBot="1">
      <c r="A246" s="8"/>
      <c r="C246" s="171"/>
      <c r="D246" s="171"/>
      <c r="E246" s="171"/>
      <c r="F246" s="171"/>
      <c r="G246" s="171"/>
    </row>
    <row r="247" spans="1:7" s="9" customFormat="1" ht="13.5" thickBot="1">
      <c r="A247" s="183" t="str">
        <f>A85</f>
        <v>UAII</v>
      </c>
      <c r="B247" s="177">
        <f aca="true" t="shared" si="7" ref="B247:G247">B8</f>
        <v>0</v>
      </c>
      <c r="C247" s="171">
        <f t="shared" si="7"/>
        <v>0</v>
      </c>
      <c r="D247" s="171">
        <f t="shared" si="7"/>
        <v>6592.863417347893</v>
      </c>
      <c r="E247" s="171">
        <f t="shared" si="7"/>
        <v>12556.628939579048</v>
      </c>
      <c r="F247" s="171">
        <f t="shared" si="7"/>
        <v>20523.615694507895</v>
      </c>
      <c r="G247" s="171">
        <f t="shared" si="7"/>
        <v>29279.107855154893</v>
      </c>
    </row>
    <row r="248" spans="1:7" s="9" customFormat="1" ht="12.75">
      <c r="A248" s="183" t="str">
        <f>A86</f>
        <v>UAIIxT</v>
      </c>
      <c r="C248" s="171">
        <f>-C247*C3</f>
        <v>0</v>
      </c>
      <c r="D248" s="171">
        <f>-D247*D3</f>
        <v>-2472.32378150546</v>
      </c>
      <c r="E248" s="171">
        <f>-E247*E3</f>
        <v>-4708.735852342143</v>
      </c>
      <c r="F248" s="171">
        <f>-F247*F3</f>
        <v>-7696.35588544046</v>
      </c>
      <c r="G248" s="171">
        <f>-G247*G3</f>
        <v>-10979.665445683084</v>
      </c>
    </row>
    <row r="249" spans="1:7" s="9" customFormat="1" ht="12.75">
      <c r="A249" s="183" t="str">
        <f>A87</f>
        <v>Deprec</v>
      </c>
      <c r="C249" s="171">
        <f>C36</f>
        <v>0</v>
      </c>
      <c r="D249" s="171">
        <f>D36</f>
        <v>8000</v>
      </c>
      <c r="E249" s="171">
        <f>E36</f>
        <v>8000</v>
      </c>
      <c r="F249" s="171">
        <f>F36</f>
        <v>8000</v>
      </c>
      <c r="G249" s="171">
        <f>G36</f>
        <v>8000</v>
      </c>
    </row>
    <row r="250" spans="1:7" s="9" customFormat="1" ht="12.75">
      <c r="A250" s="183" t="str">
        <f>A90</f>
        <v>CAMBIO en nuevo cap trab </v>
      </c>
      <c r="C250" s="171">
        <f>-C80</f>
        <v>-110</v>
      </c>
      <c r="D250" s="171">
        <f>-D80</f>
        <v>1152.4367313668154</v>
      </c>
      <c r="E250" s="171">
        <f>-E80</f>
        <v>-7303.499065262038</v>
      </c>
      <c r="F250" s="171">
        <f>-F80</f>
        <v>-21222.716207977683</v>
      </c>
      <c r="G250" s="171">
        <f>-G80</f>
        <v>-27658.200223400534</v>
      </c>
    </row>
    <row r="251" spans="1:7" s="9" customFormat="1" ht="12.75">
      <c r="A251" s="183" t="str">
        <f>A91</f>
        <v>Inversion</v>
      </c>
      <c r="C251" s="171">
        <f>C40</f>
        <v>-40000</v>
      </c>
      <c r="D251" s="171">
        <f>D40</f>
        <v>0</v>
      </c>
      <c r="E251" s="171">
        <f>E40</f>
        <v>0</v>
      </c>
      <c r="F251" s="171">
        <f>F40</f>
        <v>0</v>
      </c>
      <c r="G251" s="171">
        <f>G40</f>
        <v>0</v>
      </c>
    </row>
    <row r="252" spans="1:7" s="9" customFormat="1" ht="12.75">
      <c r="A252" s="183" t="str">
        <f>A92</f>
        <v>Valor terminal</v>
      </c>
      <c r="C252" s="171"/>
      <c r="D252" s="171"/>
      <c r="E252" s="171"/>
      <c r="F252" s="171"/>
      <c r="G252" s="171">
        <f>G43</f>
        <v>118088.094913637</v>
      </c>
    </row>
    <row r="253" spans="1:7" s="9" customFormat="1" ht="12.75">
      <c r="A253" s="183" t="s">
        <v>508</v>
      </c>
      <c r="C253" s="171">
        <f>-C38</f>
        <v>0</v>
      </c>
      <c r="D253" s="171">
        <f>-D38</f>
        <v>0</v>
      </c>
      <c r="E253" s="171">
        <f>-E38</f>
        <v>1874.8209647091794</v>
      </c>
      <c r="F253" s="171">
        <f>-F38</f>
        <v>901.8440148731062</v>
      </c>
      <c r="G253" s="171">
        <f>-G38</f>
        <v>13.24213183301626</v>
      </c>
    </row>
    <row r="254" spans="1:7" s="9" customFormat="1" ht="12">
      <c r="A254" s="171" t="s">
        <v>509</v>
      </c>
      <c r="C254" s="171">
        <f>SUM(C247:C253)</f>
        <v>-40110</v>
      </c>
      <c r="D254" s="171">
        <f>SUM(D247:D253)</f>
        <v>13272.976367209249</v>
      </c>
      <c r="E254" s="171">
        <f>SUM(E247:E253)</f>
        <v>10419.214986684046</v>
      </c>
      <c r="F254" s="171">
        <f>SUM(F247:F253)</f>
        <v>506.38761596285997</v>
      </c>
      <c r="G254" s="171">
        <f>SUM(G247:G253)</f>
        <v>116742.5792315413</v>
      </c>
    </row>
    <row r="255" spans="1:7" s="9" customFormat="1" ht="12">
      <c r="A255" s="8"/>
      <c r="C255" s="8"/>
      <c r="D255" s="8"/>
      <c r="E255" s="8"/>
      <c r="F255" s="8"/>
      <c r="G255" s="8"/>
    </row>
    <row r="256" spans="1:7" s="9" customFormat="1" ht="12">
      <c r="A256" s="8" t="s">
        <v>507</v>
      </c>
      <c r="C256" s="143">
        <f>C240-C254</f>
        <v>0</v>
      </c>
      <c r="D256" s="143">
        <f>D240-D254</f>
        <v>0</v>
      </c>
      <c r="E256" s="143">
        <f>E240-E254</f>
        <v>5.761285137850791E-08</v>
      </c>
      <c r="F256" s="143">
        <f>F240-F254</f>
        <v>1553.3706543263684</v>
      </c>
      <c r="G256" s="143">
        <f>G240-G254</f>
        <v>5653.083755198633</v>
      </c>
    </row>
    <row r="257" spans="1:7" s="9" customFormat="1" ht="12">
      <c r="A257" s="8"/>
      <c r="C257" s="8"/>
      <c r="D257" s="8"/>
      <c r="E257" s="8"/>
      <c r="F257" s="8"/>
      <c r="G257" s="8"/>
    </row>
    <row r="258" spans="1:7" s="9" customFormat="1" ht="12">
      <c r="A258" s="8"/>
      <c r="C258" s="8"/>
      <c r="D258" s="8"/>
      <c r="E258" s="8"/>
      <c r="F258" s="8"/>
      <c r="G258" s="8"/>
    </row>
    <row r="259" spans="1:7" s="9" customFormat="1" ht="12">
      <c r="A259" s="8"/>
      <c r="C259" s="8"/>
      <c r="D259" s="8"/>
      <c r="E259" s="8"/>
      <c r="F259" s="8"/>
      <c r="G259" s="8"/>
    </row>
    <row r="260" spans="1:7" s="9" customFormat="1" ht="12.75">
      <c r="A260" s="183" t="str">
        <f>A13</f>
        <v>UTILIDAD NETA</v>
      </c>
      <c r="C260" s="171">
        <f>C13</f>
        <v>0</v>
      </c>
      <c r="D260" s="171">
        <f>D13</f>
        <v>995.8380279938007</v>
      </c>
      <c r="E260" s="171">
        <f>E13</f>
        <v>6344.819729115061</v>
      </c>
      <c r="F260" s="171">
        <f>F13</f>
        <v>14358.560243676424</v>
      </c>
      <c r="G260" s="171">
        <f>G13</f>
        <v>23952.526164968225</v>
      </c>
    </row>
    <row r="261" spans="1:7" s="9" customFormat="1" ht="12.75">
      <c r="A261" s="183" t="s">
        <v>510</v>
      </c>
      <c r="C261" s="171">
        <f>C36</f>
        <v>0</v>
      </c>
      <c r="D261" s="171">
        <f>D36</f>
        <v>8000</v>
      </c>
      <c r="E261" s="171">
        <f>E36</f>
        <v>8000</v>
      </c>
      <c r="F261" s="171">
        <f>F36</f>
        <v>8000</v>
      </c>
      <c r="G261" s="171">
        <f>G36</f>
        <v>8000</v>
      </c>
    </row>
    <row r="262" spans="1:7" s="9" customFormat="1" ht="12.75">
      <c r="A262" s="183" t="s">
        <v>511</v>
      </c>
      <c r="C262" s="171">
        <f>C10</f>
        <v>0</v>
      </c>
      <c r="D262" s="171">
        <f>D10</f>
        <v>4999.522572557812</v>
      </c>
      <c r="E262" s="171">
        <f>E10</f>
        <v>2404.91737299495</v>
      </c>
      <c r="F262" s="171">
        <f>F10</f>
        <v>35.31235155471003</v>
      </c>
      <c r="G262" s="171">
        <f>G10</f>
        <v>0</v>
      </c>
    </row>
    <row r="263" spans="1:7" s="9" customFormat="1" ht="12.75">
      <c r="A263" s="183" t="s">
        <v>512</v>
      </c>
      <c r="C263" s="171">
        <f>-C32</f>
        <v>-110</v>
      </c>
      <c r="D263" s="171">
        <f>-D32</f>
        <v>-722.3842332988161</v>
      </c>
      <c r="E263" s="171">
        <f>-E32</f>
        <v>-6330.522115466959</v>
      </c>
      <c r="F263" s="171">
        <f>-F32</f>
        <v>-20334.114324741597</v>
      </c>
      <c r="G263" s="171">
        <f>-G32</f>
        <v>-27644.958087394727</v>
      </c>
    </row>
    <row r="264" spans="1:7" s="9" customFormat="1" ht="12.75">
      <c r="A264" s="183" t="s">
        <v>242</v>
      </c>
      <c r="C264" s="171"/>
      <c r="D264" s="171"/>
      <c r="E264" s="171"/>
      <c r="F264" s="171"/>
      <c r="G264" s="171">
        <f>G43</f>
        <v>118088.094913637</v>
      </c>
    </row>
    <row r="265" spans="1:7" ht="12.75">
      <c r="A265" s="183" t="s">
        <v>513</v>
      </c>
      <c r="C265" s="171">
        <f>C40</f>
        <v>-40000</v>
      </c>
      <c r="D265" s="171">
        <f>D40</f>
        <v>0</v>
      </c>
      <c r="E265" s="171">
        <f>E40</f>
        <v>0</v>
      </c>
      <c r="F265" s="171">
        <f>F40</f>
        <v>0</v>
      </c>
      <c r="G265" s="171">
        <f>G40</f>
        <v>0</v>
      </c>
    </row>
    <row r="266" spans="1:7" ht="12.75">
      <c r="A266" s="183" t="s">
        <v>514</v>
      </c>
      <c r="C266" s="171">
        <f>SUM(C260:C265)</f>
        <v>-40110</v>
      </c>
      <c r="D266" s="171">
        <f>SUM(D260:D265)</f>
        <v>13272.976367252795</v>
      </c>
      <c r="E266" s="171">
        <f>SUM(E260:E265)</f>
        <v>10419.214986643052</v>
      </c>
      <c r="F266" s="171">
        <f>SUM(F260:F265)</f>
        <v>2059.758270489536</v>
      </c>
      <c r="G266" s="171">
        <f>SUM(G260:G265)</f>
        <v>122395.6629912105</v>
      </c>
    </row>
    <row r="267" ht="15">
      <c r="A267" s="176"/>
    </row>
    <row r="268" ht="12.75">
      <c r="A268" s="184"/>
    </row>
    <row r="269" ht="12.75">
      <c r="A269" s="184"/>
    </row>
    <row r="270" ht="12.75">
      <c r="A270" s="184"/>
    </row>
    <row r="271" ht="12.75">
      <c r="A271" s="184"/>
    </row>
    <row r="272" ht="12.75">
      <c r="A272" s="184"/>
    </row>
    <row r="273" ht="12.75">
      <c r="A273" s="184"/>
    </row>
    <row r="274" ht="12.75">
      <c r="A274" s="184"/>
    </row>
    <row r="275" ht="12.75">
      <c r="A275" s="184"/>
    </row>
    <row r="276" ht="12.75">
      <c r="A276" s="184"/>
    </row>
    <row r="277" ht="12.75">
      <c r="A277" s="184"/>
    </row>
    <row r="278" ht="12.75">
      <c r="A278" s="184"/>
    </row>
    <row r="279" ht="12.75">
      <c r="A279" s="184"/>
    </row>
    <row r="280" ht="12.75">
      <c r="A280" s="184"/>
    </row>
    <row r="281" ht="12.75">
      <c r="A281" s="184"/>
    </row>
    <row r="282" ht="12.75">
      <c r="A282" s="184"/>
    </row>
    <row r="283" ht="12.75">
      <c r="A283" s="184"/>
    </row>
    <row r="284" ht="12.75">
      <c r="A284" s="184"/>
    </row>
    <row r="285" ht="12.75">
      <c r="A285" s="184"/>
    </row>
    <row r="286" ht="12.75">
      <c r="A286" s="184"/>
    </row>
  </sheetData>
  <sheetProtection/>
  <hyperlinks>
    <hyperlink ref="A1" location="MENU!A1" display="MENU"/>
  </hyperlinks>
  <printOptions/>
  <pageMargins left="0.75"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Hoja8"/>
  <dimension ref="A1:R36"/>
  <sheetViews>
    <sheetView zoomScalePageLayoutView="0" workbookViewId="0" topLeftCell="A1">
      <pane xSplit="1" ySplit="2" topLeftCell="B3" activePane="bottomRight" state="frozen"/>
      <selection pane="topLeft" activeCell="A1" sqref="A1"/>
      <selection pane="topRight" activeCell="B1" sqref="B1"/>
      <selection pane="bottomLeft" activeCell="A5" sqref="A5"/>
      <selection pane="bottomRight" activeCell="A1" sqref="A1"/>
    </sheetView>
  </sheetViews>
  <sheetFormatPr defaultColWidth="11.421875" defaultRowHeight="12.75"/>
  <cols>
    <col min="1" max="1" width="34.8515625" style="0" bestFit="1" customWidth="1"/>
    <col min="3" max="6" width="10.8515625" style="0" bestFit="1" customWidth="1"/>
    <col min="7" max="7" width="11.28125" style="0" bestFit="1" customWidth="1"/>
    <col min="10" max="10" width="28.8515625" style="0" bestFit="1" customWidth="1"/>
    <col min="11" max="11" width="24.140625" style="0" bestFit="1" customWidth="1"/>
    <col min="12" max="12" width="13.57421875" style="0" bestFit="1" customWidth="1"/>
    <col min="13" max="13" width="15.8515625" style="0" bestFit="1" customWidth="1"/>
    <col min="14" max="14" width="23.00390625" style="0" bestFit="1" customWidth="1"/>
    <col min="15" max="18" width="13.57421875" style="0" bestFit="1" customWidth="1"/>
  </cols>
  <sheetData>
    <row r="1" spans="1:7" ht="13.5">
      <c r="A1" s="147" t="s">
        <v>328</v>
      </c>
      <c r="B1" s="7"/>
      <c r="C1" s="12" t="s">
        <v>7</v>
      </c>
      <c r="D1" s="12" t="s">
        <v>8</v>
      </c>
      <c r="E1" s="12" t="s">
        <v>9</v>
      </c>
      <c r="F1" s="12" t="s">
        <v>10</v>
      </c>
      <c r="G1" s="12" t="s">
        <v>11</v>
      </c>
    </row>
    <row r="2" spans="1:7" s="9" customFormat="1" ht="25.5">
      <c r="A2" s="64" t="s">
        <v>324</v>
      </c>
      <c r="C2" s="34"/>
      <c r="D2" s="34"/>
      <c r="E2" s="34"/>
      <c r="F2" s="34"/>
      <c r="G2" s="34"/>
    </row>
    <row r="3" spans="1:14" s="9" customFormat="1" ht="12.75">
      <c r="A3" s="71" t="s">
        <v>3</v>
      </c>
      <c r="D3" s="72">
        <f>+FLUJO_DE_CAJA_PROYECTO!D26</f>
        <v>0.28916844017358995</v>
      </c>
      <c r="E3" s="72">
        <f>+FLUJO_DE_CAJA_PROYECTO!E26</f>
        <v>0.27421462152881876</v>
      </c>
      <c r="F3" s="72">
        <f>+FLUJO_DE_CAJA_PROYECTO!F26</f>
        <v>0.25022656211258104</v>
      </c>
      <c r="G3" s="72">
        <f>+FLUJO_DE_CAJA_PROYECTO!G26</f>
        <v>0.2406742500895647</v>
      </c>
      <c r="I3" s="8" t="s">
        <v>402</v>
      </c>
      <c r="J3" s="8" t="s">
        <v>400</v>
      </c>
      <c r="K3" s="8" t="s">
        <v>401</v>
      </c>
      <c r="L3" s="9" t="s">
        <v>161</v>
      </c>
      <c r="M3" s="8" t="s">
        <v>186</v>
      </c>
      <c r="N3" s="8" t="s">
        <v>403</v>
      </c>
    </row>
    <row r="4" spans="1:13" s="9" customFormat="1" ht="12.75">
      <c r="A4" s="71" t="s">
        <v>394</v>
      </c>
      <c r="D4" s="72">
        <f>+FLUJO_DE_CAJA_PROYECTO!D24</f>
        <v>0.3550206962392226</v>
      </c>
      <c r="E4" s="72">
        <f>+FLUJO_DE_CAJA_PROYECTO!E24</f>
        <v>0.3437441563191226</v>
      </c>
      <c r="F4" s="72">
        <f>+FLUJO_DE_CAJA_PROYECTO!F24</f>
        <v>0.32839487205799855</v>
      </c>
      <c r="G4" s="72">
        <f>+FLUJO_DE_CAJA_PROYECTO!G24</f>
        <v>0.3187230386719968</v>
      </c>
      <c r="I4" s="72">
        <f>+FLUJO_DE_CAJA_PROYECTO!G28</f>
        <v>0.3105828489263893</v>
      </c>
      <c r="M4" s="8"/>
    </row>
    <row r="5" spans="1:18" s="9" customFormat="1" ht="12.75">
      <c r="A5" s="71" t="s">
        <v>501</v>
      </c>
      <c r="B5" s="73"/>
      <c r="C5" s="163"/>
      <c r="D5" s="164">
        <f>+(FLUJO_DE_CAJA_PROYECTO!D145+FLUJO_DE_CAJA_PROYECTO!D141)*(1-FLUJO_DE_CAJA_PROYECTO!D7)-FLUJO_DE_CAJA_PROYECTO!D26*FLUJO_DE_CAJA_PROYECTO!D115</f>
        <v>-6861.981646675789</v>
      </c>
      <c r="E5" s="164">
        <f>+(FLUJO_DE_CAJA_PROYECTO!E145+FLUJO_DE_CAJA_PROYECTO!E141)*(1-FLUJO_DE_CAJA_PROYECTO!E7)-FLUJO_DE_CAJA_PROYECTO!E26*FLUJO_DE_CAJA_PROYECTO!E115</f>
        <v>-5228.353072932925</v>
      </c>
      <c r="F5" s="164">
        <f>+(FLUJO_DE_CAJA_PROYECTO!F145+FLUJO_DE_CAJA_PROYECTO!F141)*(1-FLUJO_DE_CAJA_PROYECTO!F7)-FLUJO_DE_CAJA_PROYECTO!F26*FLUJO_DE_CAJA_PROYECTO!F115</f>
        <v>-5288.028166744665</v>
      </c>
      <c r="G5" s="164">
        <f>+(FLUJO_DE_CAJA_PROYECTO!G145+FLUJO_DE_CAJA_PROYECTO!G141)*(1-FLUJO_DE_CAJA_PROYECTO!G7)-FLUJO_DE_CAJA_PROYECTO!G26*FLUJO_DE_CAJA_PROYECTO!G115</f>
        <v>-5154.47448890789</v>
      </c>
      <c r="H5" s="74"/>
      <c r="I5" s="145">
        <f>+G4</f>
        <v>0.3187230386719968</v>
      </c>
      <c r="J5" s="143">
        <f>+R5</f>
        <v>-887.84307266776</v>
      </c>
      <c r="K5" s="143">
        <f>+J5/I4</f>
        <v>-2858.6352264357847</v>
      </c>
      <c r="L5" s="75">
        <f>SUM(D5:J5)+K5</f>
        <v>-26278.996951326146</v>
      </c>
      <c r="M5" s="75">
        <f>SUMPRODUCT(FLUJO_DE_CAJA_PROYECTO!$D$232:$G$232,D5:G5)+L5*FLUJO_DE_CAJA_PROYECTO!G232</f>
        <v>-22279.505048945604</v>
      </c>
      <c r="N5" s="143">
        <v>-7364.6737656137675</v>
      </c>
      <c r="O5" s="143">
        <v>-5255.048571222682</v>
      </c>
      <c r="P5" s="143">
        <v>-4318.427490754741</v>
      </c>
      <c r="Q5" s="143">
        <v>-2410.966210097271</v>
      </c>
      <c r="R5" s="143">
        <v>-887.84307266776</v>
      </c>
    </row>
    <row r="6" spans="1:18" s="9" customFormat="1" ht="12.75">
      <c r="A6" s="71" t="s">
        <v>395</v>
      </c>
      <c r="B6" s="73"/>
      <c r="C6" s="163"/>
      <c r="D6" s="164">
        <f>+FLUJO_DE_CAJA_PROYECTO!D145-FLUJO_DE_CAJA_PROYECTO!D24*(FLUJO_DE_CAJA_PROYECTO!D111+FLUJO_DE_CAJA_PROYECTO!D113)</f>
        <v>-7878.201791813162</v>
      </c>
      <c r="E6" s="164">
        <f>+FLUJO_DE_CAJA_PROYECTO!E145-FLUJO_DE_CAJA_PROYECTO!E24*(FLUJO_DE_CAJA_PROYECTO!E111+FLUJO_DE_CAJA_PROYECTO!E112)</f>
        <v>-2144.6594744956055</v>
      </c>
      <c r="F6" s="164">
        <f>+FLUJO_DE_CAJA_PROYECTO!F145-FLUJO_DE_CAJA_PROYECTO!F24*(FLUJO_DE_CAJA_PROYECTO!F111+FLUJO_DE_CAJA_PROYECTO!F112)</f>
        <v>4789.6392587896735</v>
      </c>
      <c r="G6" s="164">
        <f>+FLUJO_DE_CAJA_PROYECTO!G145-FLUJO_DE_CAJA_PROYECTO!G24*(FLUJO_DE_CAJA_PROYECTO!G111+FLUJO_DE_CAJA_PROYECTO!G112)</f>
        <v>11461.944748137868</v>
      </c>
      <c r="H6" s="74"/>
      <c r="I6" s="74"/>
      <c r="J6" s="143">
        <f>+R6</f>
        <v>13816.0784535496</v>
      </c>
      <c r="K6" s="143">
        <f>+J6/I5</f>
        <v>43348.22644486631</v>
      </c>
      <c r="L6" s="75">
        <f>SUM(D6:J6)+K6</f>
        <v>63393.027639034684</v>
      </c>
      <c r="M6" s="75">
        <f>SUMPRODUCT(FLUJO_DE_CAJA_PROYECTO!D238:G238,D6:G6)+L6*FLUJO_DE_CAJA_PROYECTO!G238</f>
        <v>18456.339152691027</v>
      </c>
      <c r="N6" s="143">
        <v>-10629.15413593376</v>
      </c>
      <c r="O6" s="143">
        <v>-4776.398027583955</v>
      </c>
      <c r="P6" s="143">
        <v>1823.2737534725456</v>
      </c>
      <c r="Q6" s="143">
        <v>7589.864508846516</v>
      </c>
      <c r="R6" s="143">
        <v>13816.0784535496</v>
      </c>
    </row>
    <row r="7" spans="1:18" s="9" customFormat="1" ht="12.75">
      <c r="A7" s="71" t="s">
        <v>502</v>
      </c>
      <c r="B7" s="73"/>
      <c r="C7" s="163"/>
      <c r="D7" s="164">
        <f>+(FLUJO_DE_CAJA_PROYECTO!D145+FLUJO_DE_CAJA_PROYECTO!D141)*(1-FLUJO_DE_CAJA_PROYECTO!D7)-FLUJO_DE_CAJA_PROYECTO!D26*FLUJO_DE_CAJA_PROYECTO!C115</f>
        <v>-7851.445760017934</v>
      </c>
      <c r="E7" s="164">
        <f>+(FLUJO_DE_CAJA_PROYECTO!E145+FLUJO_DE_CAJA_PROYECTO!E141)*(1-FLUJO_DE_CAJA_PROYECTO!E7)-FLUJO_DE_CAJA_PROYECTO!E26*FLUJO_DE_CAJA_PROYECTO!D115</f>
        <v>-4591.86699989847</v>
      </c>
      <c r="F7" s="164">
        <f>+(FLUJO_DE_CAJA_PROYECTO!F145+FLUJO_DE_CAJA_PROYECTO!F141)*(1-FLUJO_DE_CAJA_PROYECTO!F7)-FLUJO_DE_CAJA_PROYECTO!F26*FLUJO_DE_CAJA_PROYECTO!E115</f>
        <v>-765.0093803907457</v>
      </c>
      <c r="G7" s="164">
        <f>+(FLUJO_DE_CAJA_PROYECTO!G145+FLUJO_DE_CAJA_PROYECTO!G141)*(1-FLUJO_DE_CAJA_PROYECTO!G7)-FLUJO_DE_CAJA_PROYECTO!G26*FLUJO_DE_CAJA_PROYECTO!F115</f>
        <v>1231.4246279782692</v>
      </c>
      <c r="H7" s="74"/>
      <c r="I7" s="74"/>
      <c r="J7" s="143">
        <f>+R7</f>
        <v>11063.2789610582</v>
      </c>
      <c r="K7" s="143">
        <f>+J7/I4</f>
        <v>35621.023502428776</v>
      </c>
      <c r="L7" s="75">
        <f>SUM(D7:J7)+K7</f>
        <v>34707.404951158096</v>
      </c>
      <c r="M7" s="75">
        <f>SUMPRODUCT(FLUJO_DE_CAJA_PROYECTO!$D$232:$G$232,D7:G7)+L7*FLUJO_DE_CAJA_PROYECTO!G232</f>
        <v>3916.493984505789</v>
      </c>
      <c r="N7" s="143">
        <v>-8610.70754411614</v>
      </c>
      <c r="O7" s="143">
        <v>-4421.739973770793</v>
      </c>
      <c r="P7" s="143">
        <v>1606.7271191959771</v>
      </c>
      <c r="Q7" s="143">
        <v>5954.561629402124</v>
      </c>
      <c r="R7" s="143">
        <v>11063.2789610582</v>
      </c>
    </row>
    <row r="8" spans="1:18" s="9" customFormat="1" ht="12.75">
      <c r="A8" s="71" t="s">
        <v>396</v>
      </c>
      <c r="B8" s="73"/>
      <c r="C8" s="163"/>
      <c r="D8" s="164">
        <f>+FLUJO_DE_CAJA_PROYECTO!D145-FLUJO_DE_CAJA_PROYECTO!D24*(FLUJO_DE_CAJA_PROYECTO!C111+FLUJO_DE_CAJA_PROYECTO!C113)</f>
        <v>-7524.658681747542</v>
      </c>
      <c r="E8" s="164">
        <f>+FLUJO_DE_CAJA_PROYECTO!E145-FLUJO_DE_CAJA_PROYECTO!E24*(FLUJO_DE_CAJA_PROYECTO!D111+FLUJO_DE_CAJA_PROYECTO!D113)</f>
        <v>-2247.353525332057</v>
      </c>
      <c r="F8" s="164">
        <f>+FLUJO_DE_CAJA_PROYECTO!F145-FLUJO_DE_CAJA_PROYECTO!F24*(FLUJO_DE_CAJA_PROYECTO!E111+FLUJO_DE_CAJA_PROYECTO!E112)</f>
        <v>6248.163643012314</v>
      </c>
      <c r="G8" s="164">
        <f>+FLUJO_DE_CAJA_PROYECTO!G145-FLUJO_DE_CAJA_PROYECTO!G24*(FLUJO_DE_CAJA_PROYECTO!F111+FLUJO_DE_CAJA_PROYECTO!F112)</f>
        <v>14665.427514485329</v>
      </c>
      <c r="H8" s="74"/>
      <c r="I8" s="74"/>
      <c r="J8" s="143">
        <f>+R8</f>
        <v>18736.403611809</v>
      </c>
      <c r="K8" s="143">
        <f>+J8/I5</f>
        <v>58785.84645112821</v>
      </c>
      <c r="L8" s="75">
        <f>SUM(D8:J8)+K8</f>
        <v>88663.82901335525</v>
      </c>
      <c r="M8" s="75">
        <f>SUMPRODUCT(FLUJO_DE_CAJA_PROYECTO!D238:G238,D8:G8)+L8*FLUJO_DE_CAJA_PROYECTO!G238</f>
        <v>28190.943163182274</v>
      </c>
      <c r="N8" s="143">
        <v>-10166.012661782104</v>
      </c>
      <c r="O8" s="143">
        <v>-4910.927234169258</v>
      </c>
      <c r="P8" s="143">
        <v>3733.9406967714804</v>
      </c>
      <c r="Q8" s="143">
        <v>11786.426932532255</v>
      </c>
      <c r="R8" s="143">
        <v>18736.403611809</v>
      </c>
    </row>
    <row r="9" spans="1:13" s="9" customFormat="1" ht="12.75">
      <c r="A9" s="71" t="s">
        <v>162</v>
      </c>
      <c r="B9" s="73"/>
      <c r="C9" s="163"/>
      <c r="D9" s="89">
        <f>+FLUJO_DE_CAJA_PROYECTO!D230-FLUJO_DE_CAJA_PROYECTO!D136-FLUJO_DE_CAJA_PROYECTO!D26*FLUJO_DE_CAJA_PROYECTO!C100</f>
        <v>-6325.5697681534475</v>
      </c>
      <c r="E9" s="89">
        <f>+FLUJO_DE_CAJA_PROYECTO!E230-FLUJO_DE_CAJA_PROYECTO!E136-FLUJO_DE_CAJA_PROYECTO!E26*FLUJO_DE_CAJA_PROYECTO!D100</f>
        <v>-9516.058666684745</v>
      </c>
      <c r="F9" s="89">
        <f>+FLUJO_DE_CAJA_PROYECTO!F230-FLUJO_DE_CAJA_PROYECTO!F136-FLUJO_DE_CAJA_PROYECTO!F26*FLUJO_DE_CAJA_PROYECTO!E100</f>
        <v>-16603.265496994078</v>
      </c>
      <c r="G9" s="89">
        <f>+FLUJO_DE_CAJA_PROYECTO!G230-FLUJO_DE_CAJA_PROYECTO!G136-FLUJO_DE_CAJA_PROYECTO!G26*FLUJO_DE_CAJA_PROYECTO!F100</f>
        <v>100643.51662978005</v>
      </c>
      <c r="H9" s="90"/>
      <c r="I9" s="90"/>
      <c r="J9" s="143"/>
      <c r="L9" s="90">
        <f aca="true" t="shared" si="0" ref="L9:L14">SUM(D9:H9)</f>
        <v>68198.62269794778</v>
      </c>
      <c r="M9" s="75">
        <f>SUMPRODUCT(FLUJO_DE_CAJA_PROYECTO!$D$232:$G$232,D9:G9)</f>
        <v>18374.410020327567</v>
      </c>
    </row>
    <row r="10" spans="1:13" s="9" customFormat="1" ht="25.5">
      <c r="A10" s="71" t="s">
        <v>397</v>
      </c>
      <c r="B10" s="73"/>
      <c r="C10" s="163"/>
      <c r="D10" s="89">
        <f>+FLUJO_DE_CAJA_PROYECTO!D230-FLUJO_DE_CAJA_PROYECTO!D24*(FLUJO_DE_CAJA_PROYECTO!C111+FLUJO_DE_CAJA_PROYECTO!C113)-FLUJO_DE_CAJA_PROYECTO!D210-FLUJO_DE_CAJA_PROYECTO!D136-FLUJO_DE_CAJA_PROYECTO!D141</f>
        <v>-8247.04291508991</v>
      </c>
      <c r="E10" s="89">
        <f>+FLUJO_DE_CAJA_PROYECTO!E230-FLUJO_DE_CAJA_PROYECTO!E24*(FLUJO_DE_CAJA_PROYECTO!D111+FLUJO_DE_CAJA_PROYECTO!D113)-FLUJO_DE_CAJA_PROYECTO!E210-FLUJO_DE_CAJA_PROYECTO!E136-FLUJO_DE_CAJA_PROYECTO!E141</f>
        <v>-8577.875640700408</v>
      </c>
      <c r="F10" s="89">
        <f>+FLUJO_DE_CAJA_PROYECTO!F230-FLUJO_DE_CAJA_PROYECTO!F24*(FLUJO_DE_CAJA_PROYECTO!E111+FLUJO_DE_CAJA_PROYECTO!E112)-FLUJO_DE_CAJA_PROYECTO!F210-FLUJO_DE_CAJA_PROYECTO!F136-FLUJO_DE_CAJA_PROYECTO!F141</f>
        <v>-14085.950681929591</v>
      </c>
      <c r="G10" s="89">
        <f>+FLUJO_DE_CAJA_PROYECTO!G230-FLUJO_DE_CAJA_PROYECTO!G24*(FLUJO_DE_CAJA_PROYECTO!F111+FLUJO_DE_CAJA_PROYECTO!F112)-FLUJO_DE_CAJA_PROYECTO!G210-FLUJO_DE_CAJA_PROYECTO!G136-FLUJO_DE_CAJA_PROYECTO!G141</f>
        <v>105108.56433625704</v>
      </c>
      <c r="H10" s="90"/>
      <c r="I10" s="90"/>
      <c r="L10" s="90">
        <f t="shared" si="0"/>
        <v>74197.69509853714</v>
      </c>
      <c r="M10" s="75">
        <f>SUMPRODUCT(FLUJO_DE_CAJA_PROYECTO!$D$238:$G$238,D10:G10)</f>
        <v>16331.99194424567</v>
      </c>
    </row>
    <row r="11" spans="1:13" s="9" customFormat="1" ht="12.75">
      <c r="A11" s="71" t="s">
        <v>163</v>
      </c>
      <c r="B11" s="73"/>
      <c r="C11" s="163"/>
      <c r="D11" s="89">
        <f>+FLUJO_DE_CAJA_PROYECTO!D230+FLUJO_DE_CAJA_PROYECTO!$C$230/4-FLUJO_DE_CAJA_PROYECTO!D26*FLUJO_DE_CAJA_PROYECTO!C100</f>
        <v>-8353.069768153448</v>
      </c>
      <c r="E11" s="89">
        <f>+FLUJO_DE_CAJA_PROYECTO!E230+FLUJO_DE_CAJA_PROYECTO!$C$230/4-FLUJO_DE_CAJA_PROYECTO!E26*FLUJO_DE_CAJA_PROYECTO!D100</f>
        <v>-11543.558666684745</v>
      </c>
      <c r="F11" s="89">
        <f>+FLUJO_DE_CAJA_PROYECTO!F230+FLUJO_DE_CAJA_PROYECTO!$C$230/4-FLUJO_DE_CAJA_PROYECTO!F26*FLUJO_DE_CAJA_PROYECTO!E100</f>
        <v>-18630.765496994078</v>
      </c>
      <c r="G11" s="89">
        <f>+FLUJO_DE_CAJA_PROYECTO!G230+FLUJO_DE_CAJA_PROYECTO!$C$230/4-FLUJO_DE_CAJA_PROYECTO!G26*FLUJO_DE_CAJA_PROYECTO!F100</f>
        <v>98616.01662978005</v>
      </c>
      <c r="H11" s="90"/>
      <c r="I11" s="90"/>
      <c r="L11" s="90">
        <f t="shared" si="0"/>
        <v>60088.62269794778</v>
      </c>
      <c r="M11" s="75">
        <f>SUMPRODUCT(FLUJO_DE_CAJA_PROYECTO!$D$232:$G$232,D11:G11)</f>
        <v>13929.484338412585</v>
      </c>
    </row>
    <row r="12" spans="1:13" s="9" customFormat="1" ht="25.5">
      <c r="A12" s="71" t="s">
        <v>398</v>
      </c>
      <c r="B12" s="73"/>
      <c r="C12" s="163"/>
      <c r="D12" s="89">
        <f>+FLUJO_DE_CAJA_PROYECTO!D230+FLUJO_DE_CAJA_PROYECTO!$C$230/4-FLUJO_DE_CAJA_PROYECTO!D24*(FLUJO_DE_CAJA_PROYECTO!C111+FLUJO_DE_CAJA_PROYECTO!C113)-FLUJO_DE_CAJA_PROYECTO!D210-FLUJO_DE_CAJA_PROYECTO!D209</f>
        <v>-10274.54291508991</v>
      </c>
      <c r="E12" s="89">
        <f>+FLUJO_DE_CAJA_PROYECTO!E230+FLUJO_DE_CAJA_PROYECTO!$C$230/4-FLUJO_DE_CAJA_PROYECTO!E24*(FLUJO_DE_CAJA_PROYECTO!D111+FLUJO_DE_CAJA_PROYECTO!D113)-FLUJO_DE_CAJA_PROYECTO!E210-FLUJO_DE_CAJA_PROYECTO!E209</f>
        <v>-10605.375640700408</v>
      </c>
      <c r="F12" s="89">
        <f>+FLUJO_DE_CAJA_PROYECTO!F230+FLUJO_DE_CAJA_PROYECTO!$C$230/4-FLUJO_DE_CAJA_PROYECTO!F24*(FLUJO_DE_CAJA_PROYECTO!E111+FLUJO_DE_CAJA_PROYECTO!E112)-FLUJO_DE_CAJA_PROYECTO!F210-FLUJO_DE_CAJA_PROYECTO!F209</f>
        <v>-16113.450681929591</v>
      </c>
      <c r="G12" s="89">
        <f>+FLUJO_DE_CAJA_PROYECTO!G230+FLUJO_DE_CAJA_PROYECTO!$C$230/4-FLUJO_DE_CAJA_PROYECTO!G24*(FLUJO_DE_CAJA_PROYECTO!F111+FLUJO_DE_CAJA_PROYECTO!F112)-FLUJO_DE_CAJA_PROYECTO!G210-FLUJO_DE_CAJA_PROYECTO!G209</f>
        <v>103081.06433625704</v>
      </c>
      <c r="H12" s="89"/>
      <c r="I12" s="89"/>
      <c r="L12" s="90">
        <f t="shared" si="0"/>
        <v>66087.69509853714</v>
      </c>
      <c r="M12" s="75">
        <f>SUMPRODUCT(FLUJO_DE_CAJA_PROYECTO!$D$238:$G$238,D12:G12)</f>
        <v>12248.28936709181</v>
      </c>
    </row>
    <row r="13" spans="1:13" s="9" customFormat="1" ht="25.5">
      <c r="A13" s="71" t="s">
        <v>164</v>
      </c>
      <c r="C13" s="163"/>
      <c r="D13" s="89">
        <f>+FLUJO_DE_CAJA_PROYECTO!D230-FLUJO_DE_CAJA_PROYECTO!D26*FLUJO_DE_CAJA_PROYECTO!C115+FLUJO_DE_CAJA_PROYECTO!$C$230/4+FLUJO_DE_CAJA_PROYECTO!D191-FLUJO_DE_CAJA_PROYECTO!D157</f>
        <v>-8353.069768153448</v>
      </c>
      <c r="E13" s="89">
        <f>+FLUJO_DE_CAJA_PROYECTO!E230-FLUJO_DE_CAJA_PROYECTO!E26*FLUJO_DE_CAJA_PROYECTO!D115+FLUJO_DE_CAJA_PROYECTO!$C$230/4+FLUJO_DE_CAJA_PROYECTO!E191-FLUJO_DE_CAJA_PROYECTO!E157</f>
        <v>-2748.8203559212725</v>
      </c>
      <c r="F13" s="89">
        <f>+FLUJO_DE_CAJA_PROYECTO!F230-FLUJO_DE_CAJA_PROYECTO!F26*FLUJO_DE_CAJA_PROYECTO!E115+FLUJO_DE_CAJA_PROYECTO!$C$230/4+FLUJO_DE_CAJA_PROYECTO!F191-FLUJO_DE_CAJA_PROYECTO!F157</f>
        <v>5827.930044912846</v>
      </c>
      <c r="G13" s="89">
        <f>+FLUJO_DE_CAJA_PROYECTO!G230-FLUJO_DE_CAJA_PROYECTO!G26*FLUJO_DE_CAJA_PROYECTO!F115+FLUJO_DE_CAJA_PROYECTO!$C$230/4+FLUJO_DE_CAJA_PROYECTO!G191-FLUJO_DE_CAJA_PROYECTO!G157</f>
        <v>131282.5221003471</v>
      </c>
      <c r="H13" s="89"/>
      <c r="I13" s="89"/>
      <c r="L13" s="90">
        <f t="shared" si="0"/>
        <v>126008.56202118522</v>
      </c>
      <c r="M13" s="75">
        <f>SUMPRODUCT(FLUJO_DE_CAJA_PROYECTO!$D$232:$G$232,D13:G13)</f>
        <v>42331.044671343385</v>
      </c>
    </row>
    <row r="14" spans="1:13" s="9" customFormat="1" ht="38.25">
      <c r="A14" s="71" t="s">
        <v>399</v>
      </c>
      <c r="B14" s="73"/>
      <c r="C14" s="163"/>
      <c r="D14" s="89">
        <f>+FLUJO_DE_CAJA_PROYECTO!D230-FLUJO_DE_CAJA_PROYECTO!D209-FLUJO_DE_CAJA_PROYECTO!D24*(FLUJO_DE_CAJA_PROYECTO!C111+FLUJO_DE_CAJA_PROYECTO!C113)+FLUJO_DE_CAJA_PROYECTO!$C$230/4+FLUJO_DE_CAJA_PROYECTO!D191-FLUJO_DE_CAJA_PROYECTO!D157-FLUJO_DE_CAJA_PROYECTO!D210</f>
        <v>-10274.54291508991</v>
      </c>
      <c r="E14" s="89">
        <f>+FLUJO_DE_CAJA_PROYECTO!E230-FLUJO_DE_CAJA_PROYECTO!E209-FLUJO_DE_CAJA_PROYECTO!E24*(FLUJO_DE_CAJA_PROYECTO!D111+FLUJO_DE_CAJA_PROYECTO!D113)+FLUJO_DE_CAJA_PROYECTO!$C$230/4+FLUJO_DE_CAJA_PROYECTO!E191-FLUJO_DE_CAJA_PROYECTO!E157-FLUJO_DE_CAJA_PROYECTO!E210</f>
        <v>-1810.637329936933</v>
      </c>
      <c r="F14" s="89">
        <f>+FLUJO_DE_CAJA_PROYECTO!F230-FLUJO_DE_CAJA_PROYECTO!F209-FLUJO_DE_CAJA_PROYECTO!F24*(FLUJO_DE_CAJA_PROYECTO!E111+FLUJO_DE_CAJA_PROYECTO!E112)+FLUJO_DE_CAJA_PROYECTO!$C$230/4+FLUJO_DE_CAJA_PROYECTO!F191-FLUJO_DE_CAJA_PROYECTO!F157-FLUJO_DE_CAJA_PROYECTO!F210</f>
        <v>8345.244859977338</v>
      </c>
      <c r="G14" s="89">
        <f>+FLUJO_DE_CAJA_PROYECTO!G230-FLUJO_DE_CAJA_PROYECTO!G209-FLUJO_DE_CAJA_PROYECTO!G24*(FLUJO_DE_CAJA_PROYECTO!F111+FLUJO_DE_CAJA_PROYECTO!F112)+FLUJO_DE_CAJA_PROYECTO!$C$230/4+FLUJO_DE_CAJA_PROYECTO!G191-FLUJO_DE_CAJA_PROYECTO!G157-FLUJO_DE_CAJA_PROYECTO!G210</f>
        <v>135747.56980682412</v>
      </c>
      <c r="H14" s="89"/>
      <c r="I14" s="89"/>
      <c r="L14" s="90">
        <f t="shared" si="0"/>
        <v>132007.63442177462</v>
      </c>
      <c r="M14" s="75">
        <f>SUMPRODUCT(FLUJO_DE_CAJA_PROYECTO!$D$238:$G$238,D14:G14)</f>
        <v>37431.989991010676</v>
      </c>
    </row>
    <row r="15" spans="1:9" s="9" customFormat="1" ht="25.5">
      <c r="A15" s="71" t="str">
        <f>+FLUJO_DE_CAJA_PROYECTO!A230</f>
        <v>FLUJO DE CAJA DEL PROYECTO DESPUES DE IMPUESTOS</v>
      </c>
      <c r="C15" s="164">
        <f>+FLUJO_DE_CAJA_PROYECTO!C230</f>
        <v>-40110</v>
      </c>
      <c r="D15" s="164">
        <f>+FLUJO_DE_CAJA_PROYECTO!D230</f>
        <v>13272.976367209245</v>
      </c>
      <c r="E15" s="164">
        <f>+FLUJO_DE_CAJA_PROYECTO!E230</f>
        <v>8544.39402203248</v>
      </c>
      <c r="F15" s="164">
        <f>+FLUJO_DE_CAJA_PROYECTO!F230</f>
        <v>1157.9142554161222</v>
      </c>
      <c r="G15" s="164">
        <f>+FLUJO_DE_CAJA_PROYECTO!G230</f>
        <v>122382.42085490692</v>
      </c>
      <c r="H15" s="74"/>
      <c r="I15" s="74"/>
    </row>
    <row r="16" spans="1:7" s="9" customFormat="1" ht="12.75">
      <c r="A16" s="71" t="s">
        <v>165</v>
      </c>
      <c r="B16" s="73"/>
      <c r="C16" s="164">
        <f>+FLUJO_DE_CAJA_PROYECTO!C230</f>
        <v>-40110</v>
      </c>
      <c r="D16" s="164">
        <f>+C16+FLUJO_DE_CAJA_PROYECTO!D230*FLUJO_DE_CAJA_PROYECTO!D232</f>
        <v>-29846.33129662137</v>
      </c>
      <c r="E16" s="164">
        <f>+D16+FLUJO_DE_CAJA_PROYECTO!E230*FLUJO_DE_CAJA_PROYECTO!E232</f>
        <v>-24778.70483941235</v>
      </c>
      <c r="F16" s="164">
        <f>+E16+FLUJO_DE_CAJA_PROYECTO!F230*FLUJO_DE_CAJA_PROYECTO!F232</f>
        <v>-24243.26769914704</v>
      </c>
      <c r="G16" s="164">
        <f>+F16+FLUJO_DE_CAJA_PROYECTO!G230*FLUJO_DE_CAJA_PROYECTO!G232</f>
        <v>20246.897690574177</v>
      </c>
    </row>
    <row r="17" spans="1:7" s="9" customFormat="1" ht="12.75">
      <c r="A17" s="71" t="s">
        <v>166</v>
      </c>
      <c r="C17" s="74"/>
      <c r="D17" s="74"/>
      <c r="E17" s="74"/>
      <c r="F17" s="74"/>
      <c r="G17" s="74"/>
    </row>
    <row r="18" s="9" customFormat="1" ht="12">
      <c r="A18" s="76"/>
    </row>
    <row r="19" spans="3:7" s="9" customFormat="1" ht="12">
      <c r="C19" s="9" t="str">
        <f>+FLUJO_DE_CAJA_PROYECTO!C4</f>
        <v>AÑO 0</v>
      </c>
      <c r="D19" s="9" t="str">
        <f>+FLUJO_DE_CAJA_PROYECTO!D4</f>
        <v>AÑO 1</v>
      </c>
      <c r="E19" s="9" t="str">
        <f>+FLUJO_DE_CAJA_PROYECTO!E4</f>
        <v>AÑO 2</v>
      </c>
      <c r="F19" s="9" t="str">
        <f>+FLUJO_DE_CAJA_PROYECTO!F4</f>
        <v>AÑO 3</v>
      </c>
      <c r="G19" s="9" t="str">
        <f>+FLUJO_DE_CAJA_PROYECTO!G4</f>
        <v>AÑO 4</v>
      </c>
    </row>
    <row r="20" spans="1:7" s="9" customFormat="1" ht="12.75">
      <c r="A20" s="71" t="str">
        <f>+FLUJO_DE_CAJA_PROYECTO!A145</f>
        <v>UTILIDAD NETA</v>
      </c>
      <c r="C20" s="164"/>
      <c r="D20" s="164">
        <f>+FLUJO_DE_CAJA_PROYECTO!D145</f>
        <v>995.8380279938007</v>
      </c>
      <c r="E20" s="164">
        <f>+FLUJO_DE_CAJA_PROYECTO!E145</f>
        <v>6344.819729115061</v>
      </c>
      <c r="F20" s="164">
        <f>+FLUJO_DE_CAJA_PROYECTO!F145</f>
        <v>14358.560243676424</v>
      </c>
      <c r="G20" s="164">
        <f>+FLUJO_DE_CAJA_PROYECTO!G145</f>
        <v>23952.526164968225</v>
      </c>
    </row>
    <row r="21" spans="1:7" s="9" customFormat="1" ht="12.75">
      <c r="A21" s="71" t="str">
        <f>+FLUJO_DE_CAJA_PROYECTO!A141</f>
        <v>GASTOS FINANCIEROS</v>
      </c>
      <c r="C21" s="164"/>
      <c r="D21" s="164">
        <f>+FLUJO_DE_CAJA_PROYECTO!D141</f>
        <v>4999.522572557812</v>
      </c>
      <c r="E21" s="164">
        <f>+FLUJO_DE_CAJA_PROYECTO!E141</f>
        <v>2404.91737299495</v>
      </c>
      <c r="F21" s="164">
        <f>+FLUJO_DE_CAJA_PROYECTO!F141</f>
        <v>35.31235155471003</v>
      </c>
      <c r="G21" s="164">
        <f>+FLUJO_DE_CAJA_PROYECTO!G141</f>
        <v>0</v>
      </c>
    </row>
    <row r="22" spans="1:7" s="9" customFormat="1" ht="12.75">
      <c r="A22" s="71" t="s">
        <v>167</v>
      </c>
      <c r="C22" s="164"/>
      <c r="D22" s="164">
        <f>+D20+D21</f>
        <v>5995.360600551613</v>
      </c>
      <c r="E22" s="164">
        <f>+E20+E21</f>
        <v>8749.737102110012</v>
      </c>
      <c r="F22" s="164">
        <f>+F20+F21</f>
        <v>14393.872595231134</v>
      </c>
      <c r="G22" s="164">
        <f>+G20+G21</f>
        <v>23952.526164968225</v>
      </c>
    </row>
    <row r="23" spans="1:7" s="9" customFormat="1" ht="25.5">
      <c r="A23" s="71" t="s">
        <v>168</v>
      </c>
      <c r="D23" s="72">
        <f>+FLUJO_DE_CAJA_PROYECTO!D26</f>
        <v>0.28916844017358995</v>
      </c>
      <c r="E23" s="72">
        <f>+FLUJO_DE_CAJA_PROYECTO!E26</f>
        <v>0.27421462152881876</v>
      </c>
      <c r="F23" s="72">
        <f>+FLUJO_DE_CAJA_PROYECTO!F26</f>
        <v>0.25022656211258104</v>
      </c>
      <c r="G23" s="72">
        <f>+FLUJO_DE_CAJA_PROYECTO!G26</f>
        <v>0.2406742500895647</v>
      </c>
    </row>
    <row r="24" spans="1:7" s="9" customFormat="1" ht="12.75">
      <c r="A24" s="71" t="s">
        <v>169</v>
      </c>
      <c r="C24" s="164">
        <f>+FLUJO_DE_CAJA_PROYECTO!C100</f>
        <v>40110</v>
      </c>
      <c r="D24" s="164">
        <f>+FLUJO_DE_CAJA_PROYECTO!D100</f>
        <v>36688.2430726252</v>
      </c>
      <c r="E24" s="164">
        <f>+FLUJO_DE_CAJA_PROYECTO!E100</f>
        <v>39009.36683140173</v>
      </c>
      <c r="F24" s="164">
        <f>+FLUJO_DE_CAJA_PROYECTO!F100</f>
        <v>57085.06090707277</v>
      </c>
      <c r="G24" s="164">
        <f>+FLUJO_DE_CAJA_PROYECTO!G100</f>
        <v>83618.43169510755</v>
      </c>
    </row>
    <row r="25" spans="1:7" s="9" customFormat="1" ht="25.5">
      <c r="A25" s="71" t="str">
        <f>+FLUJO_DE_CAJA_PROYECTO!A24</f>
        <v>Costo de oportunidad de los accionistas</v>
      </c>
      <c r="C25" s="9">
        <f>+FLUJO_DE_CAJA_PROYECTO!C24</f>
        <v>0</v>
      </c>
      <c r="D25" s="77">
        <f>+FLUJO_DE_CAJA_PROYECTO!D24</f>
        <v>0.3550206962392226</v>
      </c>
      <c r="E25" s="77">
        <f>+FLUJO_DE_CAJA_PROYECTO!E24</f>
        <v>0.3437441563191226</v>
      </c>
      <c r="F25" s="77">
        <f>+FLUJO_DE_CAJA_PROYECTO!F24</f>
        <v>0.32839487205799855</v>
      </c>
      <c r="G25" s="77">
        <f>+FLUJO_DE_CAJA_PROYECTO!G24</f>
        <v>0.3187230386719968</v>
      </c>
    </row>
    <row r="26" spans="1:7" s="9" customFormat="1" ht="12.75">
      <c r="A26" s="71" t="str">
        <f>+FLUJO_DE_CAJA_PROYECTO!A111</f>
        <v>CAPITAL</v>
      </c>
      <c r="C26" s="164">
        <f>+FLUJO_DE_CAJA_PROYECTO!C111</f>
        <v>24000</v>
      </c>
      <c r="D26" s="164">
        <f>+FLUJO_DE_CAJA_PROYECTO!D111</f>
        <v>24000</v>
      </c>
      <c r="E26" s="164">
        <f>+FLUJO_DE_CAJA_PROYECTO!E111</f>
        <v>24000</v>
      </c>
      <c r="F26" s="164">
        <f>+FLUJO_DE_CAJA_PROYECTO!F111</f>
        <v>24000</v>
      </c>
      <c r="G26" s="164">
        <f>+FLUJO_DE_CAJA_PROYECTO!G111</f>
        <v>24000</v>
      </c>
    </row>
    <row r="27" spans="1:7" s="9" customFormat="1" ht="12.75">
      <c r="A27" s="71" t="str">
        <f>+FLUJO_DE_CAJA_PROYECTO!A112</f>
        <v>UTILIDADES RETENIDAS</v>
      </c>
      <c r="C27" s="164">
        <f>FLUJO_DE_CAJA_PROYECTO!C112</f>
        <v>0</v>
      </c>
      <c r="D27" s="164">
        <f>FLUJO_DE_CAJA_PROYECTO!D112</f>
        <v>0</v>
      </c>
      <c r="E27" s="164">
        <f>FLUJO_DE_CAJA_PROYECTO!E112</f>
        <v>697.0866196464668</v>
      </c>
      <c r="F27" s="164">
        <f>FLUJO_DE_CAJA_PROYECTO!F112</f>
        <v>5138.460430029987</v>
      </c>
      <c r="G27" s="164">
        <f>FLUJO_DE_CAJA_PROYECTO!G112</f>
        <v>15189.452600835119</v>
      </c>
    </row>
    <row r="28" spans="1:7" s="9" customFormat="1" ht="25.5">
      <c r="A28" s="71" t="s">
        <v>170</v>
      </c>
      <c r="C28" s="164">
        <f>+C27+C26+C20</f>
        <v>24000</v>
      </c>
      <c r="D28" s="164">
        <f>+D27+D26+D20</f>
        <v>24995.8380279938</v>
      </c>
      <c r="E28" s="164">
        <f>+E27+E26+E20</f>
        <v>31041.906348761528</v>
      </c>
      <c r="F28" s="164">
        <f>+F27+F26+F20</f>
        <v>43497.020673706415</v>
      </c>
      <c r="G28" s="164">
        <f>+G27+G26+G20</f>
        <v>63141.978765803346</v>
      </c>
    </row>
    <row r="29" s="9" customFormat="1" ht="12"/>
    <row r="30" spans="1:7" s="9" customFormat="1" ht="12.75">
      <c r="A30" s="71" t="str">
        <f>+FLUJO_DE_CAJA_PROYECTO!A70</f>
        <v>DEPRECIACION ANUAL</v>
      </c>
      <c r="C30" s="164">
        <f>+FLUJO_DE_CAJA_PROYECTO!C70</f>
        <v>0</v>
      </c>
      <c r="D30" s="164">
        <f>+FLUJO_DE_CAJA_PROYECTO!D70</f>
        <v>8000</v>
      </c>
      <c r="E30" s="164">
        <f>+FLUJO_DE_CAJA_PROYECTO!E70</f>
        <v>8000</v>
      </c>
      <c r="F30" s="164">
        <f>+FLUJO_DE_CAJA_PROYECTO!F70</f>
        <v>8000</v>
      </c>
      <c r="G30" s="164">
        <f>+FLUJO_DE_CAJA_PROYECTO!G70</f>
        <v>8000</v>
      </c>
    </row>
    <row r="31" spans="1:7" s="9" customFormat="1" ht="25.5">
      <c r="A31" s="71" t="str">
        <f>+FLUJO_DE_CAJA_PROYECTO!A210</f>
        <v>AHORRO EN IMPUESTOS POR INTERESES</v>
      </c>
      <c r="C31" s="164">
        <f>+FLUJO_DE_CAJA_PROYECTO!C210</f>
        <v>0</v>
      </c>
      <c r="D31" s="164">
        <f>+FLUJO_DE_CAJA_PROYECTO!D210</f>
        <v>0</v>
      </c>
      <c r="E31" s="164">
        <f>+FLUJO_DE_CAJA_PROYECTO!E210</f>
        <v>-1874.8209647091794</v>
      </c>
      <c r="F31" s="164">
        <f>+FLUJO_DE_CAJA_PROYECTO!F210</f>
        <v>-901.8440148731062</v>
      </c>
      <c r="G31" s="164">
        <f>+FLUJO_DE_CAJA_PROYECTO!G210</f>
        <v>-13.24213183301626</v>
      </c>
    </row>
    <row r="32" spans="1:9" s="9" customFormat="1" ht="12.75">
      <c r="A32" s="71" t="s">
        <v>171</v>
      </c>
      <c r="C32" s="164">
        <f>+FLUJO_DE_CAJA_PROYECTO!C100</f>
        <v>40110</v>
      </c>
      <c r="D32" s="164"/>
      <c r="E32" s="164"/>
      <c r="F32" s="164"/>
      <c r="G32" s="164"/>
      <c r="H32" s="74"/>
      <c r="I32" s="74"/>
    </row>
    <row r="33" spans="1:9" s="9" customFormat="1" ht="12.75">
      <c r="A33" s="71" t="str">
        <f>+FLUJO_DE_CAJA_PROYECTO!A191</f>
        <v>INVERSION EN PAPELES DE BOLSA</v>
      </c>
      <c r="C33" s="164">
        <f>+FLUJO_DE_CAJA_PROYECTO!C191</f>
        <v>0</v>
      </c>
      <c r="D33" s="164">
        <f>+FLUJO_DE_CAJA_PROYECTO!D191</f>
        <v>0</v>
      </c>
      <c r="E33" s="164">
        <f>+FLUJO_DE_CAJA_PROYECTO!E191</f>
        <v>8794.738310763474</v>
      </c>
      <c r="F33" s="164">
        <f>+FLUJO_DE_CAJA_PROYECTO!F191</f>
        <v>33253.433852728005</v>
      </c>
      <c r="G33" s="164">
        <f>+FLUJO_DE_CAJA_PROYECTO!G191</f>
        <v>65919.93932461177</v>
      </c>
      <c r="H33" s="74"/>
      <c r="I33" s="74"/>
    </row>
    <row r="34" spans="1:9" s="9" customFormat="1" ht="12.75">
      <c r="A34" s="71" t="str">
        <f>+FLUJO_DE_CAJA_PROYECTO!A157</f>
        <v>VENTA DE PAPELES DE BOLSA</v>
      </c>
      <c r="C34" s="164">
        <f>+FLUJO_DE_CAJA_PROYECTO!C157</f>
        <v>0</v>
      </c>
      <c r="D34" s="164">
        <f>+FLUJO_DE_CAJA_PROYECTO!D157</f>
        <v>0</v>
      </c>
      <c r="E34" s="164">
        <f>+FLUJO_DE_CAJA_PROYECTO!E157</f>
        <v>0</v>
      </c>
      <c r="F34" s="164">
        <f>+FLUJO_DE_CAJA_PROYECTO!F157</f>
        <v>8794.738310821078</v>
      </c>
      <c r="G34" s="164">
        <f>+FLUJO_DE_CAJA_PROYECTO!G157</f>
        <v>33253.433854044706</v>
      </c>
      <c r="H34" s="74"/>
      <c r="I34" s="74"/>
    </row>
    <row r="35" spans="1:9" s="9" customFormat="1" ht="12.75">
      <c r="A35" s="9" t="str">
        <f>+A16</f>
        <v>VPN HASTA t</v>
      </c>
      <c r="C35" s="164">
        <f>+C16</f>
        <v>-40110</v>
      </c>
      <c r="D35" s="164">
        <f>+D16</f>
        <v>-29846.33129662137</v>
      </c>
      <c r="E35" s="164">
        <f>+E16</f>
        <v>-24778.70483941235</v>
      </c>
      <c r="F35" s="164">
        <f>+F16</f>
        <v>-24243.26769914704</v>
      </c>
      <c r="G35" s="164">
        <f>+G16</f>
        <v>20246.897690574177</v>
      </c>
      <c r="H35" s="74"/>
      <c r="I35" s="74"/>
    </row>
    <row r="36" spans="1:9" s="9" customFormat="1" ht="12.75">
      <c r="A36" s="9" t="str">
        <f>+A17</f>
        <v>VPN</v>
      </c>
      <c r="C36" s="74"/>
      <c r="D36" s="74"/>
      <c r="E36" s="74"/>
      <c r="F36" s="74"/>
      <c r="G36" s="74"/>
      <c r="H36" s="74"/>
      <c r="I36" s="74"/>
    </row>
    <row r="37" s="9" customFormat="1" ht="12"/>
    <row r="38" s="9" customFormat="1" ht="12"/>
    <row r="39" s="9" customFormat="1" ht="12"/>
    <row r="40" s="9" customFormat="1" ht="12"/>
    <row r="41" s="9" customFormat="1" ht="12"/>
    <row r="42" s="9" customFormat="1" ht="12"/>
    <row r="43" s="9" customFormat="1" ht="12"/>
  </sheetData>
  <sheetProtection/>
  <hyperlinks>
    <hyperlink ref="A1" location="MENU!A1" display="MENU"/>
  </hyperlink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codeName="Hoja13"/>
  <dimension ref="A1:G31"/>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12.57421875" defaultRowHeight="12.75"/>
  <cols>
    <col min="1" max="1" width="46.140625" style="81" customWidth="1"/>
    <col min="2" max="4" width="13.57421875" style="81" customWidth="1"/>
    <col min="5" max="16384" width="12.57421875" style="81" customWidth="1"/>
  </cols>
  <sheetData>
    <row r="1" ht="12.75">
      <c r="A1" s="147" t="s">
        <v>328</v>
      </c>
    </row>
    <row r="2" spans="1:7" ht="24">
      <c r="A2" s="136" t="s">
        <v>431</v>
      </c>
      <c r="B2" s="79" t="s">
        <v>166</v>
      </c>
      <c r="C2" s="79" t="s">
        <v>457</v>
      </c>
      <c r="D2" s="79"/>
      <c r="E2" s="80" t="s">
        <v>166</v>
      </c>
      <c r="F2" s="80" t="s">
        <v>172</v>
      </c>
      <c r="G2" s="80" t="s">
        <v>173</v>
      </c>
    </row>
    <row r="3" spans="1:7" ht="12">
      <c r="A3" s="81" t="s">
        <v>32</v>
      </c>
      <c r="B3" s="157">
        <v>0.0464</v>
      </c>
      <c r="C3" s="83">
        <f aca="true" t="shared" si="0" ref="C3:C29">ABS(B3)</f>
        <v>0.0464</v>
      </c>
      <c r="D3" s="83"/>
      <c r="E3" s="84">
        <f aca="true" t="shared" si="1" ref="E3:E26">ABS(B3)</f>
        <v>0.0464</v>
      </c>
      <c r="F3" s="84">
        <f aca="true" t="shared" si="2" ref="F3:F26">ABS(C3)</f>
        <v>0.0464</v>
      </c>
      <c r="G3" s="84">
        <f aca="true" t="shared" si="3" ref="G3:G26">ABS(D3)</f>
        <v>0</v>
      </c>
    </row>
    <row r="4" spans="1:7" ht="12">
      <c r="A4" s="82" t="s">
        <v>33</v>
      </c>
      <c r="B4" s="158">
        <v>0.0293</v>
      </c>
      <c r="C4" s="83">
        <f t="shared" si="0"/>
        <v>0.0293</v>
      </c>
      <c r="D4" s="88"/>
      <c r="E4" s="84">
        <f t="shared" si="1"/>
        <v>0.0293</v>
      </c>
      <c r="F4" s="84">
        <f t="shared" si="2"/>
        <v>0.0293</v>
      </c>
      <c r="G4" s="84">
        <f t="shared" si="3"/>
        <v>0</v>
      </c>
    </row>
    <row r="5" spans="1:7" ht="12">
      <c r="A5" s="81" t="s">
        <v>30</v>
      </c>
      <c r="B5" s="157">
        <v>-0.0214</v>
      </c>
      <c r="C5" s="83">
        <f t="shared" si="0"/>
        <v>0.0214</v>
      </c>
      <c r="D5" s="83"/>
      <c r="E5" s="84">
        <f t="shared" si="1"/>
        <v>0.0214</v>
      </c>
      <c r="F5" s="84">
        <f t="shared" si="2"/>
        <v>0.0214</v>
      </c>
      <c r="G5" s="84">
        <f t="shared" si="3"/>
        <v>0</v>
      </c>
    </row>
    <row r="6" spans="1:7" ht="12">
      <c r="A6" s="81" t="s">
        <v>45</v>
      </c>
      <c r="B6" s="157">
        <v>-0.0125</v>
      </c>
      <c r="C6" s="83">
        <f t="shared" si="0"/>
        <v>0.0125</v>
      </c>
      <c r="D6" s="83"/>
      <c r="E6" s="84">
        <f t="shared" si="1"/>
        <v>0.0125</v>
      </c>
      <c r="F6" s="84">
        <f t="shared" si="2"/>
        <v>0.0125</v>
      </c>
      <c r="G6" s="84">
        <f t="shared" si="3"/>
        <v>0</v>
      </c>
    </row>
    <row r="7" spans="1:7" ht="12">
      <c r="A7" s="81" t="s">
        <v>51</v>
      </c>
      <c r="B7" s="157">
        <v>0.0117</v>
      </c>
      <c r="C7" s="83">
        <f t="shared" si="0"/>
        <v>0.0117</v>
      </c>
      <c r="D7" s="83"/>
      <c r="E7" s="84">
        <f t="shared" si="1"/>
        <v>0.0117</v>
      </c>
      <c r="F7" s="84">
        <f t="shared" si="2"/>
        <v>0.0117</v>
      </c>
      <c r="G7" s="84">
        <f t="shared" si="3"/>
        <v>0</v>
      </c>
    </row>
    <row r="8" spans="1:7" ht="12">
      <c r="A8" s="81" t="s">
        <v>18</v>
      </c>
      <c r="B8" s="157">
        <v>0.0082</v>
      </c>
      <c r="C8" s="83">
        <f t="shared" si="0"/>
        <v>0.0082</v>
      </c>
      <c r="D8" s="83"/>
      <c r="E8" s="84">
        <f t="shared" si="1"/>
        <v>0.0082</v>
      </c>
      <c r="F8" s="84">
        <f t="shared" si="2"/>
        <v>0.0082</v>
      </c>
      <c r="G8" s="84">
        <f t="shared" si="3"/>
        <v>0</v>
      </c>
    </row>
    <row r="9" spans="1:7" ht="12">
      <c r="A9" s="82" t="s">
        <v>455</v>
      </c>
      <c r="B9" s="158">
        <v>-0.008</v>
      </c>
      <c r="C9" s="83">
        <f t="shared" si="0"/>
        <v>0.008</v>
      </c>
      <c r="D9" s="83"/>
      <c r="E9" s="84">
        <f t="shared" si="1"/>
        <v>0.008</v>
      </c>
      <c r="F9" s="84">
        <f t="shared" si="2"/>
        <v>0.008</v>
      </c>
      <c r="G9" s="84">
        <f t="shared" si="3"/>
        <v>0</v>
      </c>
    </row>
    <row r="10" spans="1:7" ht="12">
      <c r="A10" s="81" t="s">
        <v>19</v>
      </c>
      <c r="B10" s="157">
        <v>-0.0054</v>
      </c>
      <c r="C10" s="83">
        <f t="shared" si="0"/>
        <v>0.0054</v>
      </c>
      <c r="D10" s="83"/>
      <c r="E10" s="84">
        <f t="shared" si="1"/>
        <v>0.0054</v>
      </c>
      <c r="F10" s="84">
        <f t="shared" si="2"/>
        <v>0.0054</v>
      </c>
      <c r="G10" s="84">
        <f t="shared" si="3"/>
        <v>0</v>
      </c>
    </row>
    <row r="11" spans="1:7" ht="12">
      <c r="A11" s="81" t="s">
        <v>53</v>
      </c>
      <c r="B11" s="157">
        <v>-0.0051</v>
      </c>
      <c r="C11" s="83">
        <f t="shared" si="0"/>
        <v>0.0051</v>
      </c>
      <c r="D11" s="83"/>
      <c r="E11" s="84">
        <f t="shared" si="1"/>
        <v>0.0051</v>
      </c>
      <c r="F11" s="84">
        <f t="shared" si="2"/>
        <v>0.0051</v>
      </c>
      <c r="G11" s="84">
        <f t="shared" si="3"/>
        <v>0</v>
      </c>
    </row>
    <row r="12" spans="1:7" ht="12">
      <c r="A12" s="81" t="s">
        <v>38</v>
      </c>
      <c r="B12" s="157">
        <v>-0.0037</v>
      </c>
      <c r="C12" s="83">
        <f t="shared" si="0"/>
        <v>0.0037</v>
      </c>
      <c r="D12" s="83"/>
      <c r="E12" s="84">
        <f t="shared" si="1"/>
        <v>0.0037</v>
      </c>
      <c r="F12" s="84">
        <f t="shared" si="2"/>
        <v>0.0037</v>
      </c>
      <c r="G12" s="84">
        <f t="shared" si="3"/>
        <v>0</v>
      </c>
    </row>
    <row r="13" spans="1:7" ht="12">
      <c r="A13" s="81" t="s">
        <v>40</v>
      </c>
      <c r="B13" s="157">
        <v>-0.003613302124875895</v>
      </c>
      <c r="C13" s="83">
        <f t="shared" si="0"/>
        <v>0.003613302124875895</v>
      </c>
      <c r="D13" s="83"/>
      <c r="E13" s="84">
        <f t="shared" si="1"/>
        <v>0.003613302124875895</v>
      </c>
      <c r="F13" s="84">
        <f t="shared" si="2"/>
        <v>0.003613302124875895</v>
      </c>
      <c r="G13" s="84">
        <f t="shared" si="3"/>
        <v>0</v>
      </c>
    </row>
    <row r="14" spans="1:7" ht="12">
      <c r="A14" s="81" t="s">
        <v>41</v>
      </c>
      <c r="B14" s="157">
        <v>-0.0028</v>
      </c>
      <c r="C14" s="83">
        <f t="shared" si="0"/>
        <v>0.0028</v>
      </c>
      <c r="D14" s="83"/>
      <c r="E14" s="84">
        <f t="shared" si="1"/>
        <v>0.0028</v>
      </c>
      <c r="F14" s="84">
        <f t="shared" si="2"/>
        <v>0.0028</v>
      </c>
      <c r="G14" s="84">
        <f t="shared" si="3"/>
        <v>0</v>
      </c>
    </row>
    <row r="15" spans="1:7" ht="12">
      <c r="A15" s="81" t="s">
        <v>183</v>
      </c>
      <c r="B15" s="157">
        <v>-0.0027</v>
      </c>
      <c r="C15" s="83">
        <f t="shared" si="0"/>
        <v>0.0027</v>
      </c>
      <c r="D15" s="83"/>
      <c r="E15" s="84">
        <f t="shared" si="1"/>
        <v>0.0027</v>
      </c>
      <c r="F15" s="84">
        <f t="shared" si="2"/>
        <v>0.0027</v>
      </c>
      <c r="G15" s="84">
        <f t="shared" si="3"/>
        <v>0</v>
      </c>
    </row>
    <row r="16" spans="1:7" ht="36">
      <c r="A16" s="82" t="s">
        <v>16</v>
      </c>
      <c r="B16" s="157">
        <v>-0.0025</v>
      </c>
      <c r="C16" s="83">
        <f t="shared" si="0"/>
        <v>0.0025</v>
      </c>
      <c r="D16" s="83"/>
      <c r="E16" s="84">
        <f t="shared" si="1"/>
        <v>0.0025</v>
      </c>
      <c r="F16" s="84">
        <f t="shared" si="2"/>
        <v>0.0025</v>
      </c>
      <c r="G16" s="84">
        <f t="shared" si="3"/>
        <v>0</v>
      </c>
    </row>
    <row r="17" spans="1:7" ht="12">
      <c r="A17" s="82" t="s">
        <v>35</v>
      </c>
      <c r="B17" s="157">
        <v>-0.0022</v>
      </c>
      <c r="C17" s="83">
        <f t="shared" si="0"/>
        <v>0.0022</v>
      </c>
      <c r="D17" s="83"/>
      <c r="E17" s="84">
        <f t="shared" si="1"/>
        <v>0.0022</v>
      </c>
      <c r="F17" s="84">
        <f t="shared" si="2"/>
        <v>0.0022</v>
      </c>
      <c r="G17" s="84">
        <f t="shared" si="3"/>
        <v>0</v>
      </c>
    </row>
    <row r="18" spans="1:7" ht="12">
      <c r="A18" s="81" t="s">
        <v>46</v>
      </c>
      <c r="B18" s="157">
        <v>0.0019</v>
      </c>
      <c r="C18" s="83">
        <f t="shared" si="0"/>
        <v>0.0019</v>
      </c>
      <c r="D18" s="83"/>
      <c r="E18" s="84">
        <f t="shared" si="1"/>
        <v>0.0019</v>
      </c>
      <c r="F18" s="84">
        <f t="shared" si="2"/>
        <v>0.0019</v>
      </c>
      <c r="G18" s="84">
        <f t="shared" si="3"/>
        <v>0</v>
      </c>
    </row>
    <row r="19" spans="1:7" ht="12">
      <c r="A19" s="81" t="s">
        <v>44</v>
      </c>
      <c r="B19" s="157">
        <v>-0.0018</v>
      </c>
      <c r="C19" s="83">
        <f t="shared" si="0"/>
        <v>0.0018</v>
      </c>
      <c r="D19" s="83"/>
      <c r="E19" s="84">
        <f t="shared" si="1"/>
        <v>0.0018</v>
      </c>
      <c r="F19" s="84">
        <f t="shared" si="2"/>
        <v>0.0018</v>
      </c>
      <c r="G19" s="84">
        <f t="shared" si="3"/>
        <v>0</v>
      </c>
    </row>
    <row r="20" spans="1:7" ht="12">
      <c r="A20" s="81" t="s">
        <v>36</v>
      </c>
      <c r="B20" s="157">
        <v>-0.0017</v>
      </c>
      <c r="C20" s="83">
        <f t="shared" si="0"/>
        <v>0.0017</v>
      </c>
      <c r="D20" s="83"/>
      <c r="E20" s="84">
        <f t="shared" si="1"/>
        <v>0.0017</v>
      </c>
      <c r="F20" s="84">
        <f t="shared" si="2"/>
        <v>0.0017</v>
      </c>
      <c r="G20" s="84">
        <f t="shared" si="3"/>
        <v>0</v>
      </c>
    </row>
    <row r="21" spans="1:7" ht="12">
      <c r="A21" s="101" t="s">
        <v>456</v>
      </c>
      <c r="B21" s="157">
        <v>0.0013</v>
      </c>
      <c r="C21" s="83">
        <f t="shared" si="0"/>
        <v>0.0013</v>
      </c>
      <c r="D21" s="83"/>
      <c r="E21" s="84">
        <f t="shared" si="1"/>
        <v>0.0013</v>
      </c>
      <c r="F21" s="84">
        <f t="shared" si="2"/>
        <v>0.0013</v>
      </c>
      <c r="G21" s="84">
        <f t="shared" si="3"/>
        <v>0</v>
      </c>
    </row>
    <row r="22" spans="1:7" ht="12">
      <c r="A22" s="81" t="s">
        <v>39</v>
      </c>
      <c r="B22" s="157">
        <v>-0.0009</v>
      </c>
      <c r="C22" s="83">
        <f t="shared" si="0"/>
        <v>0.0009</v>
      </c>
      <c r="D22" s="88"/>
      <c r="E22" s="84">
        <f t="shared" si="1"/>
        <v>0.0009</v>
      </c>
      <c r="F22" s="84">
        <f t="shared" si="2"/>
        <v>0.0009</v>
      </c>
      <c r="G22" s="84">
        <f t="shared" si="3"/>
        <v>0</v>
      </c>
    </row>
    <row r="23" spans="1:7" ht="24">
      <c r="A23" s="82" t="s">
        <v>255</v>
      </c>
      <c r="B23" s="158">
        <v>-0.0006</v>
      </c>
      <c r="C23" s="83">
        <f t="shared" si="0"/>
        <v>0.0006</v>
      </c>
      <c r="D23" s="83"/>
      <c r="E23" s="84">
        <f t="shared" si="1"/>
        <v>0.0006</v>
      </c>
      <c r="F23" s="84">
        <f t="shared" si="2"/>
        <v>0.0006</v>
      </c>
      <c r="G23" s="84">
        <f t="shared" si="3"/>
        <v>0</v>
      </c>
    </row>
    <row r="24" spans="1:7" ht="12">
      <c r="A24" s="81" t="s">
        <v>256</v>
      </c>
      <c r="B24" s="157">
        <v>-0.0004</v>
      </c>
      <c r="C24" s="83">
        <f t="shared" si="0"/>
        <v>0.0004</v>
      </c>
      <c r="D24" s="83"/>
      <c r="E24" s="84">
        <f t="shared" si="1"/>
        <v>0.0004</v>
      </c>
      <c r="F24" s="84">
        <f t="shared" si="2"/>
        <v>0.0004</v>
      </c>
      <c r="G24" s="84">
        <f t="shared" si="3"/>
        <v>0</v>
      </c>
    </row>
    <row r="25" spans="1:7" ht="12">
      <c r="A25" s="101" t="s">
        <v>21</v>
      </c>
      <c r="B25" s="157">
        <v>0.0002</v>
      </c>
      <c r="C25" s="83">
        <f t="shared" si="0"/>
        <v>0.0002</v>
      </c>
      <c r="D25" s="83"/>
      <c r="E25" s="84">
        <f t="shared" si="1"/>
        <v>0.0002</v>
      </c>
      <c r="F25" s="84">
        <f t="shared" si="2"/>
        <v>0.0002</v>
      </c>
      <c r="G25" s="84">
        <f t="shared" si="3"/>
        <v>0</v>
      </c>
    </row>
    <row r="26" spans="1:7" ht="12">
      <c r="A26" s="101" t="s">
        <v>25</v>
      </c>
      <c r="B26" s="157">
        <v>0</v>
      </c>
      <c r="C26" s="83">
        <f t="shared" si="0"/>
        <v>0</v>
      </c>
      <c r="D26" s="83"/>
      <c r="E26" s="84">
        <f t="shared" si="1"/>
        <v>0</v>
      </c>
      <c r="F26" s="84">
        <f t="shared" si="2"/>
        <v>0</v>
      </c>
      <c r="G26" s="84">
        <f t="shared" si="3"/>
        <v>0</v>
      </c>
    </row>
    <row r="27" spans="1:7" ht="12">
      <c r="A27" s="81" t="s">
        <v>49</v>
      </c>
      <c r="B27" s="157">
        <v>0</v>
      </c>
      <c r="C27" s="83">
        <f t="shared" si="0"/>
        <v>0</v>
      </c>
      <c r="D27" s="83"/>
      <c r="E27" s="84">
        <f aca="true" t="shared" si="4" ref="E27:G29">ABS(B27)</f>
        <v>0</v>
      </c>
      <c r="F27" s="84">
        <f t="shared" si="4"/>
        <v>0</v>
      </c>
      <c r="G27" s="84">
        <f t="shared" si="4"/>
        <v>0</v>
      </c>
    </row>
    <row r="28" spans="1:7" ht="12">
      <c r="A28" s="81" t="s">
        <v>48</v>
      </c>
      <c r="B28" s="83">
        <v>0</v>
      </c>
      <c r="C28" s="83">
        <f t="shared" si="0"/>
        <v>0</v>
      </c>
      <c r="D28" s="88"/>
      <c r="E28" s="84">
        <f t="shared" si="4"/>
        <v>0</v>
      </c>
      <c r="F28" s="84">
        <f t="shared" si="4"/>
        <v>0</v>
      </c>
      <c r="G28" s="84">
        <f t="shared" si="4"/>
        <v>0</v>
      </c>
    </row>
    <row r="29" spans="1:7" ht="12">
      <c r="A29" s="81" t="s">
        <v>342</v>
      </c>
      <c r="B29" s="83">
        <v>0</v>
      </c>
      <c r="C29" s="83">
        <f t="shared" si="0"/>
        <v>0</v>
      </c>
      <c r="D29" s="83"/>
      <c r="E29" s="84">
        <f t="shared" si="4"/>
        <v>0</v>
      </c>
      <c r="F29" s="84">
        <f t="shared" si="4"/>
        <v>0</v>
      </c>
      <c r="G29" s="84">
        <f t="shared" si="4"/>
        <v>0</v>
      </c>
    </row>
    <row r="30" spans="1:7" ht="12">
      <c r="A30" s="82"/>
      <c r="B30" s="83"/>
      <c r="C30" s="83"/>
      <c r="D30" s="83"/>
      <c r="E30" s="84"/>
      <c r="F30" s="84"/>
      <c r="G30" s="84"/>
    </row>
    <row r="31" spans="1:4" ht="12">
      <c r="A31" s="82"/>
      <c r="B31" s="88"/>
      <c r="C31" s="88"/>
      <c r="D31" s="88"/>
    </row>
  </sheetData>
  <sheetProtection/>
  <hyperlinks>
    <hyperlink ref="A1" location="MENU!A1" display="MENU"/>
  </hyperlinks>
  <printOptions/>
  <pageMargins left="0.75" right="0.75" top="1" bottom="1"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Hoja6"/>
  <dimension ref="A1:G113"/>
  <sheetViews>
    <sheetView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18" sqref="B18"/>
    </sheetView>
  </sheetViews>
  <sheetFormatPr defaultColWidth="11.421875" defaultRowHeight="12.75"/>
  <cols>
    <col min="1" max="1" width="48.140625" style="0" customWidth="1"/>
  </cols>
  <sheetData>
    <row r="1" spans="1:7" ht="12.75">
      <c r="A1" s="6" t="s">
        <v>5</v>
      </c>
      <c r="B1" s="7"/>
      <c r="C1" s="7"/>
      <c r="D1" s="135" t="s">
        <v>422</v>
      </c>
      <c r="E1" s="7"/>
      <c r="F1" s="7"/>
      <c r="G1" s="7"/>
    </row>
    <row r="2" spans="1:7" ht="12.75">
      <c r="A2" s="6" t="s">
        <v>6</v>
      </c>
      <c r="B2" s="7"/>
      <c r="C2" s="7"/>
      <c r="D2" s="7"/>
      <c r="E2" s="7"/>
      <c r="F2" s="7"/>
      <c r="G2" s="7"/>
    </row>
    <row r="3" spans="1:7" ht="16.5">
      <c r="A3" s="6"/>
      <c r="B3" s="123" t="s">
        <v>427</v>
      </c>
      <c r="C3" s="7"/>
      <c r="E3" s="7"/>
      <c r="F3" s="7"/>
      <c r="G3" s="7"/>
    </row>
    <row r="4" spans="1:7" ht="12.75">
      <c r="A4" s="10" t="s">
        <v>4</v>
      </c>
      <c r="B4" s="10"/>
      <c r="C4" s="10"/>
      <c r="D4" s="10"/>
      <c r="E4" s="10"/>
      <c r="F4" s="11"/>
      <c r="G4" s="11"/>
    </row>
    <row r="5" spans="1:7" ht="13.5">
      <c r="A5" s="147" t="s">
        <v>328</v>
      </c>
      <c r="B5" s="7"/>
      <c r="C5" s="12" t="s">
        <v>7</v>
      </c>
      <c r="D5" s="12" t="s">
        <v>8</v>
      </c>
      <c r="E5" s="12" t="s">
        <v>9</v>
      </c>
      <c r="F5" s="12" t="s">
        <v>10</v>
      </c>
      <c r="G5" s="12" t="s">
        <v>11</v>
      </c>
    </row>
    <row r="6" spans="2:7" ht="12.75">
      <c r="B6" s="149"/>
      <c r="C6" s="149"/>
      <c r="D6" s="149"/>
      <c r="E6" s="149"/>
      <c r="F6" s="149"/>
      <c r="G6" s="149"/>
    </row>
    <row r="7" spans="1:7" ht="12.75">
      <c r="A7" t="str">
        <f>FLUJO_DE_CAJA_PROYECTO!A147</f>
        <v>FLUJO DE TESORERIA</v>
      </c>
      <c r="B7" s="149"/>
      <c r="C7" s="149"/>
      <c r="D7" s="149"/>
      <c r="E7" s="149"/>
      <c r="F7" s="149"/>
      <c r="G7" s="149"/>
    </row>
    <row r="8" spans="2:7" ht="12.75">
      <c r="B8" s="149"/>
      <c r="C8" s="149"/>
      <c r="D8" s="149"/>
      <c r="E8" s="149"/>
      <c r="F8" s="149"/>
      <c r="G8" s="149"/>
    </row>
    <row r="9" spans="1:7" ht="12.75">
      <c r="A9" t="str">
        <f>FLUJO_DE_CAJA_PROYECTO!A149</f>
        <v>SALDO INICIAL</v>
      </c>
      <c r="B9" s="149"/>
      <c r="C9" s="149"/>
      <c r="D9" s="149">
        <f>FLUJO_DE_CAJA_PROYECTO!D149</f>
        <v>110</v>
      </c>
      <c r="E9" s="149">
        <f>FLUJO_DE_CAJA_PROYECTO!E149</f>
        <v>110</v>
      </c>
      <c r="F9" s="149">
        <f>FLUJO_DE_CAJA_PROYECTO!F149</f>
        <v>121</v>
      </c>
      <c r="G9" s="149">
        <f>FLUJO_DE_CAJA_PROYECTO!G149</f>
        <v>150</v>
      </c>
    </row>
    <row r="10" spans="1:7" ht="12.75">
      <c r="A10" t="str">
        <f>FLUJO_DE_CAJA_PROYECTO!A150</f>
        <v>INGRESOS</v>
      </c>
      <c r="B10" s="149"/>
      <c r="C10" s="149"/>
      <c r="D10" s="149"/>
      <c r="E10" s="149"/>
      <c r="F10" s="149"/>
      <c r="G10" s="149"/>
    </row>
    <row r="11" spans="1:7" ht="12.75">
      <c r="A11" s="150" t="str">
        <f>FLUJO_DE_CAJA_PROYECTO!A151</f>
        <v>VENTAS ANO 1</v>
      </c>
      <c r="B11" s="151">
        <f>FLUJO_DE_CAJA_PROYECTO!B151</f>
        <v>50518.07955081923</v>
      </c>
      <c r="C11" s="151"/>
      <c r="D11" s="151">
        <f>FLUJO_DE_CAJA_PROYECTO!D151</f>
        <v>47992.17557327827</v>
      </c>
      <c r="E11" s="151">
        <f>FLUJO_DE_CAJA_PROYECTO!E151</f>
        <v>2525.9039775409638</v>
      </c>
      <c r="F11" s="151"/>
      <c r="G11" s="151"/>
    </row>
    <row r="12" spans="1:7" ht="12.75">
      <c r="A12" s="150" t="str">
        <f>FLUJO_DE_CAJA_PROYECTO!A152</f>
        <v>VENTAS ANO 2</v>
      </c>
      <c r="B12" s="151">
        <f>FLUJO_DE_CAJA_PROYECTO!B152</f>
        <v>67165.81980747901</v>
      </c>
      <c r="C12" s="151"/>
      <c r="D12" s="151"/>
      <c r="E12" s="151">
        <f>FLUJO_DE_CAJA_PROYECTO!E152</f>
        <v>63807.528817105056</v>
      </c>
      <c r="F12" s="151">
        <f>FLUJO_DE_CAJA_PROYECTO!F152</f>
        <v>3358.2909903739564</v>
      </c>
      <c r="G12" s="151"/>
    </row>
    <row r="13" spans="1:7" ht="12.75">
      <c r="A13" s="150" t="str">
        <f>FLUJO_DE_CAJA_PROYECTO!A153</f>
        <v>VENTAS ANO 3</v>
      </c>
      <c r="B13" s="151">
        <f>FLUJO_DE_CAJA_PROYECTO!B153</f>
        <v>86219.88695575621</v>
      </c>
      <c r="C13" s="151"/>
      <c r="D13" s="151"/>
      <c r="E13" s="151"/>
      <c r="F13" s="151">
        <f>FLUJO_DE_CAJA_PROYECTO!F153</f>
        <v>81908.8926079684</v>
      </c>
      <c r="G13" s="151">
        <f>FLUJO_DE_CAJA_PROYECTO!G153</f>
        <v>4310.994347787811</v>
      </c>
    </row>
    <row r="14" spans="1:7" ht="12.75">
      <c r="A14" s="150" t="str">
        <f>FLUJO_DE_CAJA_PROYECTO!A154</f>
        <v>VENTAS ANO 4</v>
      </c>
      <c r="B14" s="151">
        <f>FLUJO_DE_CAJA_PROYECTO!B154</f>
        <v>108168.183472601</v>
      </c>
      <c r="C14" s="151"/>
      <c r="D14" s="151"/>
      <c r="E14" s="151"/>
      <c r="F14" s="151"/>
      <c r="G14" s="151">
        <f>FLUJO_DE_CAJA_PROYECTO!G154</f>
        <v>102759.77429897094</v>
      </c>
    </row>
    <row r="15" spans="1:7" ht="12.75">
      <c r="A15" s="150" t="str">
        <f>FLUJO_DE_CAJA_PROYECTO!A155</f>
        <v>TOTAL INGRESO DE CARTERA</v>
      </c>
      <c r="B15" s="151"/>
      <c r="C15" s="151"/>
      <c r="D15" s="151">
        <f>FLUJO_DE_CAJA_PROYECTO!D155</f>
        <v>47992.17557327827</v>
      </c>
      <c r="E15" s="151">
        <f>FLUJO_DE_CAJA_PROYECTO!E155</f>
        <v>66333.43279464603</v>
      </c>
      <c r="F15" s="151">
        <f>FLUJO_DE_CAJA_PROYECTO!F155</f>
        <v>85267.18359834235</v>
      </c>
      <c r="G15" s="151">
        <f>FLUJO_DE_CAJA_PROYECTO!G155</f>
        <v>107070.76864675875</v>
      </c>
    </row>
    <row r="16" spans="2:7" ht="12.75">
      <c r="B16" s="149"/>
      <c r="C16" s="149"/>
      <c r="D16" s="149"/>
      <c r="E16" s="149"/>
      <c r="F16" s="149"/>
      <c r="G16" s="149"/>
    </row>
    <row r="17" spans="1:7" ht="12.75">
      <c r="A17" s="150" t="str">
        <f>FLUJO_DE_CAJA_PROYECTO!A157</f>
        <v>VENTA DE PAPELES DE BOLSA</v>
      </c>
      <c r="B17" s="151"/>
      <c r="C17" s="151"/>
      <c r="D17" s="151"/>
      <c r="E17" s="151"/>
      <c r="F17" s="151">
        <f>FLUJO_DE_CAJA_PROYECTO!F157</f>
        <v>8794.738310821078</v>
      </c>
      <c r="G17" s="151">
        <f>FLUJO_DE_CAJA_PROYECTO!G157</f>
        <v>33253.433854044706</v>
      </c>
    </row>
    <row r="18" spans="1:7" ht="12.75">
      <c r="A18" s="150" t="str">
        <f>FLUJO_DE_CAJA_PROYECTO!A158</f>
        <v>RENDIMIENTOS DE INVERSIONES</v>
      </c>
      <c r="B18" s="151"/>
      <c r="C18" s="151"/>
      <c r="D18" s="151"/>
      <c r="E18" s="151"/>
      <c r="F18" s="151">
        <f>FLUJO_DE_CAJA_PROYECTO!F158</f>
        <v>2485.393046638036</v>
      </c>
      <c r="G18" s="151">
        <f>FLUJO_DE_CAJA_PROYECTO!G158</f>
        <v>9044.93400830016</v>
      </c>
    </row>
    <row r="19" spans="1:7" ht="12.75">
      <c r="A19" t="str">
        <f>FLUJO_DE_CAJA_PROYECTO!A159</f>
        <v>APORTES DE CAPITAL EN EFECTIVO</v>
      </c>
      <c r="B19" s="149"/>
      <c r="C19" s="149">
        <f>FLUJO_DE_CAJA_PROYECTO!C159</f>
        <v>24000</v>
      </c>
      <c r="D19" s="149"/>
      <c r="E19" s="149"/>
      <c r="F19" s="149"/>
      <c r="G19" s="149"/>
    </row>
    <row r="20" spans="1:7" ht="12.75">
      <c r="A20" t="str">
        <f>FLUJO_DE_CAJA_PROYECTO!A160</f>
        <v>TOTAL INGRESOS</v>
      </c>
      <c r="B20" s="149"/>
      <c r="C20" s="149">
        <f>FLUJO_DE_CAJA_PROYECTO!C160</f>
        <v>24000</v>
      </c>
      <c r="D20" s="149">
        <f>FLUJO_DE_CAJA_PROYECTO!D160</f>
        <v>47992.17557327827</v>
      </c>
      <c r="E20" s="149">
        <f>FLUJO_DE_CAJA_PROYECTO!E160</f>
        <v>66333.43279464603</v>
      </c>
      <c r="F20" s="149">
        <f>FLUJO_DE_CAJA_PROYECTO!F160</f>
        <v>96547.31495580144</v>
      </c>
      <c r="G20" s="149">
        <f>FLUJO_DE_CAJA_PROYECTO!G160</f>
        <v>149369.1365091036</v>
      </c>
    </row>
    <row r="21" spans="2:7" ht="12.75">
      <c r="B21" s="149"/>
      <c r="C21" s="149"/>
      <c r="D21" s="149"/>
      <c r="E21" s="149"/>
      <c r="F21" s="149"/>
      <c r="G21" s="149"/>
    </row>
    <row r="22" spans="1:7" ht="12.75">
      <c r="A22" t="str">
        <f>FLUJO_DE_CAJA_PROYECTO!A162</f>
        <v>EGRESOS</v>
      </c>
      <c r="B22" s="149"/>
      <c r="C22" s="149"/>
      <c r="D22" s="149"/>
      <c r="E22" s="149"/>
      <c r="F22" s="149"/>
      <c r="G22" s="149"/>
    </row>
    <row r="23" spans="2:7" ht="12.75">
      <c r="B23" s="149"/>
      <c r="C23" s="149"/>
      <c r="D23" s="149"/>
      <c r="E23" s="149"/>
      <c r="F23" s="149"/>
      <c r="G23" s="149"/>
    </row>
    <row r="24" spans="1:7" ht="12.75">
      <c r="A24" t="str">
        <f>FLUJO_DE_CAJA_PROYECTO!A164</f>
        <v>PROVEEDORES</v>
      </c>
      <c r="B24" s="149"/>
      <c r="C24" s="149"/>
      <c r="D24" s="149"/>
      <c r="E24" s="149"/>
      <c r="F24" s="149"/>
      <c r="G24" s="149"/>
    </row>
    <row r="25" spans="1:7" ht="12.75">
      <c r="A25" s="150" t="str">
        <f>FLUJO_DE_CAJA_PROYECTO!A165</f>
        <v>COMPRAS ANO 1</v>
      </c>
      <c r="B25" s="151">
        <f>FLUJO_DE_CAJA_PROYECTO!B165</f>
        <v>26680.408236095074</v>
      </c>
      <c r="C25" s="151"/>
      <c r="D25" s="151">
        <f>FLUJO_DE_CAJA_PROYECTO!D165</f>
        <v>24012.367412485568</v>
      </c>
      <c r="E25" s="151">
        <f>FLUJO_DE_CAJA_PROYECTO!E165</f>
        <v>2668.0408236095063</v>
      </c>
      <c r="F25" s="151"/>
      <c r="G25" s="151"/>
    </row>
    <row r="26" spans="1:7" ht="12.75">
      <c r="A26" s="150" t="str">
        <f>FLUJO_DE_CAJA_PROYECTO!A166</f>
        <v>COMPRAS ANO 2</v>
      </c>
      <c r="B26" s="151">
        <f>FLUJO_DE_CAJA_PROYECTO!B166</f>
        <v>32987.69295645662</v>
      </c>
      <c r="C26" s="151"/>
      <c r="D26" s="151"/>
      <c r="E26" s="151">
        <f>FLUJO_DE_CAJA_PROYECTO!E166</f>
        <v>29688.92366081096</v>
      </c>
      <c r="F26" s="151">
        <f>FLUJO_DE_CAJA_PROYECTO!F166</f>
        <v>3298.769295645663</v>
      </c>
      <c r="G26" s="151"/>
    </row>
    <row r="27" spans="1:7" ht="12.75">
      <c r="A27" s="150" t="str">
        <f>FLUJO_DE_CAJA_PROYECTO!A167</f>
        <v>COMPRAS ANO 3</v>
      </c>
      <c r="B27" s="151">
        <f>FLUJO_DE_CAJA_PROYECTO!B167</f>
        <v>40588.560652416934</v>
      </c>
      <c r="C27" s="151"/>
      <c r="D27" s="151"/>
      <c r="E27" s="151"/>
      <c r="F27" s="151">
        <f>FLUJO_DE_CAJA_PROYECTO!F167</f>
        <v>36529.70458717524</v>
      </c>
      <c r="G27" s="151">
        <f>FLUJO_DE_CAJA_PROYECTO!G167</f>
        <v>4058.8560652416927</v>
      </c>
    </row>
    <row r="28" spans="1:7" ht="12.75">
      <c r="A28" s="150" t="str">
        <f>FLUJO_DE_CAJA_PROYECTO!A168</f>
        <v>COMPRAS ANO 4</v>
      </c>
      <c r="B28" s="151">
        <f>FLUJO_DE_CAJA_PROYECTO!B168</f>
        <v>49828.053465947734</v>
      </c>
      <c r="C28" s="151"/>
      <c r="D28" s="151"/>
      <c r="E28" s="151"/>
      <c r="F28" s="151"/>
      <c r="G28" s="151">
        <f>FLUJO_DE_CAJA_PROYECTO!G168</f>
        <v>44845.24811935296</v>
      </c>
    </row>
    <row r="29" spans="1:7" ht="12.75">
      <c r="A29" s="150" t="str">
        <f>FLUJO_DE_CAJA_PROYECTO!A169</f>
        <v>TOTAL PAGO A PROVEEDORES</v>
      </c>
      <c r="B29" s="151"/>
      <c r="C29" s="151"/>
      <c r="D29" s="151">
        <f>FLUJO_DE_CAJA_PROYECTO!D169</f>
        <v>24012.367412485568</v>
      </c>
      <c r="E29" s="151">
        <f>FLUJO_DE_CAJA_PROYECTO!E169</f>
        <v>32356.964484420467</v>
      </c>
      <c r="F29" s="151">
        <f>FLUJO_DE_CAJA_PROYECTO!F169</f>
        <v>39828.47388282091</v>
      </c>
      <c r="G29" s="151">
        <f>FLUJO_DE_CAJA_PROYECTO!G169</f>
        <v>48904.10418459465</v>
      </c>
    </row>
    <row r="30" spans="1:7" ht="12.75">
      <c r="A30" s="150" t="str">
        <f>FLUJO_DE_CAJA_PROYECTO!A170</f>
        <v>SUELDOS Y PRESTACIONES</v>
      </c>
      <c r="B30" s="151"/>
      <c r="C30" s="151"/>
      <c r="D30" s="151">
        <f>FLUJO_DE_CAJA_PROYECTO!D170</f>
        <v>5194.567020534301</v>
      </c>
      <c r="E30" s="151">
        <f>FLUJO_DE_CAJA_PROYECTO!E170</f>
        <v>6462.634608598357</v>
      </c>
      <c r="F30" s="151">
        <f>FLUJO_DE_CAJA_PROYECTO!F170</f>
        <v>7891.948309630195</v>
      </c>
      <c r="G30" s="151">
        <f>FLUJO_DE_CAJA_PROYECTO!G170</f>
        <v>9605.275910562981</v>
      </c>
    </row>
    <row r="31" spans="1:7" ht="12.75">
      <c r="A31" s="150" t="str">
        <f>FLUJO_DE_CAJA_PROYECTO!A171</f>
        <v>CESANTIAS</v>
      </c>
      <c r="B31" s="151"/>
      <c r="C31" s="151"/>
      <c r="D31" s="151"/>
      <c r="E31" s="151">
        <f>FLUJO_DE_CAJA_PROYECTO!E171</f>
        <v>376.29519887704805</v>
      </c>
      <c r="F31" s="151">
        <f>FLUJO_DE_CAJA_PROYECTO!F171</f>
        <v>475.4145495186975</v>
      </c>
      <c r="G31" s="151">
        <f>FLUJO_DE_CAJA_PROYECTO!G171</f>
        <v>587.6247173893905</v>
      </c>
    </row>
    <row r="32" spans="1:7" ht="12.75">
      <c r="A32" s="150" t="str">
        <f>FLUJO_DE_CAJA_PROYECTO!A172</f>
        <v>HONORARIOS</v>
      </c>
      <c r="B32" s="151"/>
      <c r="C32" s="151"/>
      <c r="D32" s="151">
        <f>FLUJO_DE_CAJA_PROYECTO!D172</f>
        <v>555</v>
      </c>
      <c r="E32" s="151">
        <f>FLUJO_DE_CAJA_PROYECTO!E172</f>
        <v>682.65</v>
      </c>
      <c r="F32" s="151">
        <f>FLUJO_DE_CAJA_PROYECTO!F172</f>
        <v>826.0065</v>
      </c>
      <c r="G32" s="151">
        <f>FLUJO_DE_CAJA_PROYECTO!G172</f>
        <v>999.467865</v>
      </c>
    </row>
    <row r="33" spans="1:7" ht="12.75">
      <c r="A33" s="150" t="str">
        <f>FLUJO_DE_CAJA_PROYECTO!A173</f>
        <v>COMISIONES DE VENTAS</v>
      </c>
      <c r="B33" s="151"/>
      <c r="C33" s="151"/>
      <c r="D33" s="151">
        <f>FLUJO_DE_CAJA_PROYECTO!D173</f>
        <v>1515.5423865245768</v>
      </c>
      <c r="E33" s="151">
        <f>FLUJO_DE_CAJA_PROYECTO!E173</f>
        <v>2014.9745942243703</v>
      </c>
      <c r="F33" s="151">
        <f>FLUJO_DE_CAJA_PROYECTO!F173</f>
        <v>2586.596608672686</v>
      </c>
      <c r="G33" s="151">
        <f>FLUJO_DE_CAJA_PROYECTO!G173</f>
        <v>3245.0455041780297</v>
      </c>
    </row>
    <row r="34" spans="1:7" ht="12.75">
      <c r="A34" s="150" t="str">
        <f>FLUJO_DE_CAJA_PROYECTO!A174</f>
        <v>GASTOS GENERALES ANO 1</v>
      </c>
      <c r="B34" s="151">
        <f>FLUJO_DE_CAJA_PROYECTO!B174</f>
        <v>2140.2</v>
      </c>
      <c r="C34" s="151"/>
      <c r="D34" s="151">
        <f>FLUJO_DE_CAJA_PROYECTO!D174</f>
        <v>1926.1799999999998</v>
      </c>
      <c r="E34" s="151">
        <f>FLUJO_DE_CAJA_PROYECTO!E174</f>
        <v>214.01999999999992</v>
      </c>
      <c r="F34" s="151"/>
      <c r="G34" s="151"/>
    </row>
    <row r="35" spans="1:7" ht="12.75">
      <c r="A35" s="150" t="str">
        <f>FLUJO_DE_CAJA_PROYECTO!A175</f>
        <v>GASTOS GENERALES ANO 2</v>
      </c>
      <c r="B35" s="151">
        <f>FLUJO_DE_CAJA_PROYECTO!B175</f>
        <v>2653.848</v>
      </c>
      <c r="C35" s="151"/>
      <c r="D35" s="151"/>
      <c r="E35" s="151">
        <f>FLUJO_DE_CAJA_PROYECTO!E175</f>
        <v>2388.4632</v>
      </c>
      <c r="F35" s="151">
        <f>FLUJO_DE_CAJA_PROYECTO!F175</f>
        <v>265.3847999999998</v>
      </c>
      <c r="G35" s="151"/>
    </row>
    <row r="36" spans="1:7" ht="12.75">
      <c r="A36" s="150" t="str">
        <f>FLUJO_DE_CAJA_PROYECTO!A176</f>
        <v>GASTOS GENERALES ANO 3</v>
      </c>
      <c r="B36" s="151">
        <f>FLUJO_DE_CAJA_PROYECTO!B176</f>
        <v>3264.23304</v>
      </c>
      <c r="C36" s="151"/>
      <c r="D36" s="151"/>
      <c r="E36" s="151"/>
      <c r="F36" s="151">
        <f>FLUJO_DE_CAJA_PROYECTO!F176</f>
        <v>2937.809736</v>
      </c>
      <c r="G36" s="151">
        <f>FLUJO_DE_CAJA_PROYECTO!G176</f>
        <v>326.4233039999999</v>
      </c>
    </row>
    <row r="37" spans="1:7" ht="12.75">
      <c r="A37" s="150" t="str">
        <f>FLUJO_DE_CAJA_PROYECTO!A177</f>
        <v>GASTOS GENERALES ANO 4</v>
      </c>
      <c r="B37" s="151">
        <f>FLUJO_DE_CAJA_PROYECTO!B177</f>
        <v>4015.0066392</v>
      </c>
      <c r="C37" s="151"/>
      <c r="D37" s="151"/>
      <c r="E37" s="151"/>
      <c r="F37" s="151"/>
      <c r="G37" s="151">
        <f>FLUJO_DE_CAJA_PROYECTO!G177</f>
        <v>3613.50597528</v>
      </c>
    </row>
    <row r="38" spans="1:7" ht="12.75">
      <c r="A38" s="150" t="str">
        <f>FLUJO_DE_CAJA_PROYECTO!A178</f>
        <v>PUBLICIDAD</v>
      </c>
      <c r="B38" s="151"/>
      <c r="C38" s="151"/>
      <c r="D38" s="151">
        <f>FLUJO_DE_CAJA_PROYECTO!D178</f>
        <v>1515.5423865245768</v>
      </c>
      <c r="E38" s="151">
        <f>FLUJO_DE_CAJA_PROYECTO!E178</f>
        <v>2014.9745942243703</v>
      </c>
      <c r="F38" s="151">
        <f>FLUJO_DE_CAJA_PROYECTO!F178</f>
        <v>2586.596608672686</v>
      </c>
      <c r="G38" s="151">
        <f>FLUJO_DE_CAJA_PROYECTO!G178</f>
        <v>3245.0455041780297</v>
      </c>
    </row>
    <row r="39" spans="1:7" ht="12.75">
      <c r="A39" s="150" t="str">
        <f>FLUJO_DE_CAJA_PROYECTO!A179</f>
        <v>COMPRA DE ACTIVOS</v>
      </c>
      <c r="B39" s="151"/>
      <c r="C39" s="151">
        <f>FLUJO_DE_CAJA_PROYECTO!C179</f>
        <v>40000</v>
      </c>
      <c r="D39" s="151"/>
      <c r="E39" s="151"/>
      <c r="F39" s="151"/>
      <c r="G39" s="151"/>
    </row>
    <row r="40" spans="1:7" ht="12.75">
      <c r="A40" t="str">
        <f>FLUJO_DE_CAJA_PROYECTO!A180</f>
        <v>PAGO DE INTERESES</v>
      </c>
      <c r="B40" s="149"/>
      <c r="C40" s="149"/>
      <c r="D40" s="149">
        <f>FLUJO_DE_CAJA_PROYECTO!D180</f>
        <v>4999.522572557812</v>
      </c>
      <c r="E40" s="149">
        <f>FLUJO_DE_CAJA_PROYECTO!E180</f>
        <v>2404.91737299495</v>
      </c>
      <c r="F40" s="149">
        <f>FLUJO_DE_CAJA_PROYECTO!F180</f>
        <v>35.31235155471003</v>
      </c>
      <c r="G40" s="149"/>
    </row>
    <row r="41" spans="1:7" ht="12.75">
      <c r="A41" t="str">
        <f>FLUJO_DE_CAJA_PROYECTO!A181</f>
        <v>UTILIDADES REPARTIDAS</v>
      </c>
      <c r="B41" s="149"/>
      <c r="C41" s="149"/>
      <c r="D41" s="149">
        <f>FLUJO_DE_CAJA_PROYECTO!D181</f>
        <v>0</v>
      </c>
      <c r="E41" s="149">
        <f>FLUJO_DE_CAJA_PROYECTO!E181</f>
        <v>298.7514083981402</v>
      </c>
      <c r="F41" s="149">
        <f>FLUJO_DE_CAJA_PROYECTO!F181</f>
        <v>1903.4459187345183</v>
      </c>
      <c r="G41" s="149">
        <f>FLUJO_DE_CAJA_PROYECTO!G181</f>
        <v>4307.568073102927</v>
      </c>
    </row>
    <row r="42" spans="1:7" ht="12.75">
      <c r="A42" s="150" t="str">
        <f>FLUJO_DE_CAJA_PROYECTO!A182</f>
        <v>IMPUESTOS EXTRAS POR AJUSTE POR INFLACION</v>
      </c>
      <c r="B42" s="151"/>
      <c r="C42" s="151"/>
      <c r="D42" s="151"/>
      <c r="E42" s="151"/>
      <c r="F42" s="151"/>
      <c r="G42" s="151"/>
    </row>
    <row r="43" spans="1:7" ht="12.75">
      <c r="A43" s="150" t="str">
        <f>FLUJO_DE_CAJA_PROYECTO!A183</f>
        <v>IMPUESTOS</v>
      </c>
      <c r="B43" s="151"/>
      <c r="C43" s="151"/>
      <c r="D43" s="151">
        <f>FLUJO_DE_CAJA_PROYECTO!D183</f>
        <v>0</v>
      </c>
      <c r="E43" s="151">
        <f>FLUJO_DE_CAJA_PROYECTO!E183</f>
        <v>597.5028167962804</v>
      </c>
      <c r="F43" s="151">
        <f>FLUJO_DE_CAJA_PROYECTO!F183</f>
        <v>3806.8918374690365</v>
      </c>
      <c r="G43" s="151">
        <f>FLUJO_DE_CAJA_PROYECTO!G183</f>
        <v>8615.136146205856</v>
      </c>
    </row>
    <row r="44" spans="2:7" ht="12.75">
      <c r="B44" s="149"/>
      <c r="C44" s="149"/>
      <c r="D44" s="149"/>
      <c r="E44" s="149"/>
      <c r="F44" s="149"/>
      <c r="G44" s="149"/>
    </row>
    <row r="45" spans="1:7" ht="12.75">
      <c r="A45" t="str">
        <f>FLUJO_DE_CAJA_PROYECTO!A185</f>
        <v>TOTAL EGRESOS</v>
      </c>
      <c r="B45" s="149"/>
      <c r="C45" s="149">
        <f>FLUJO_DE_CAJA_PROYECTO!C185</f>
        <v>40000</v>
      </c>
      <c r="D45" s="149">
        <f>FLUJO_DE_CAJA_PROYECTO!D185</f>
        <v>39718.72177862684</v>
      </c>
      <c r="E45" s="149">
        <f>FLUJO_DE_CAJA_PROYECTO!E185</f>
        <v>49812.14827853398</v>
      </c>
      <c r="F45" s="149">
        <f>FLUJO_DE_CAJA_PROYECTO!F185</f>
        <v>63143.881103073436</v>
      </c>
      <c r="G45" s="149">
        <f>FLUJO_DE_CAJA_PROYECTO!G185</f>
        <v>83449.19718449184</v>
      </c>
    </row>
    <row r="46" spans="2:7" ht="12.75">
      <c r="B46" s="149"/>
      <c r="C46" s="149"/>
      <c r="D46" s="149"/>
      <c r="E46" s="149"/>
      <c r="F46" s="149"/>
      <c r="G46" s="149"/>
    </row>
    <row r="47" spans="1:7" ht="12.75">
      <c r="A47" t="str">
        <f>FLUJO_DE_CAJA_PROYECTO!A187</f>
        <v>SALDO DEL ANO</v>
      </c>
      <c r="B47" s="149"/>
      <c r="C47" s="149">
        <f>FLUJO_DE_CAJA_PROYECTO!C187</f>
        <v>-16000</v>
      </c>
      <c r="D47" s="149">
        <f>FLUJO_DE_CAJA_PROYECTO!D187</f>
        <v>8273.453794651432</v>
      </c>
      <c r="E47" s="149">
        <f>FLUJO_DE_CAJA_PROYECTO!E187</f>
        <v>16521.284516112042</v>
      </c>
      <c r="F47" s="149">
        <f>FLUJO_DE_CAJA_PROYECTO!F187</f>
        <v>33403.433852728005</v>
      </c>
      <c r="G47" s="149">
        <f>FLUJO_DE_CAJA_PROYECTO!G187</f>
        <v>65919.93932461177</v>
      </c>
    </row>
    <row r="48" spans="1:7" ht="12.75">
      <c r="A48" t="str">
        <f>FLUJO_DE_CAJA_PROYECTO!A188</f>
        <v>SALDO ACUMULADO</v>
      </c>
      <c r="B48" s="149"/>
      <c r="C48" s="149">
        <f>FLUJO_DE_CAJA_PROYECTO!C188</f>
        <v>-16000</v>
      </c>
      <c r="D48" s="149">
        <f>FLUJO_DE_CAJA_PROYECTO!D188</f>
        <v>8383.453794651432</v>
      </c>
      <c r="E48" s="149">
        <f>FLUJO_DE_CAJA_PROYECTO!E188</f>
        <v>16631.284516112042</v>
      </c>
      <c r="F48" s="149">
        <f>FLUJO_DE_CAJA_PROYECTO!F188</f>
        <v>33524.433852728005</v>
      </c>
      <c r="G48" s="149">
        <f>FLUJO_DE_CAJA_PROYECTO!G188</f>
        <v>66069.93932461177</v>
      </c>
    </row>
    <row r="49" spans="1:7" ht="12.75">
      <c r="A49" t="str">
        <f>FLUJO_DE_CAJA_PROYECTO!A189</f>
        <v>PRESTAMOS BANCARIOS</v>
      </c>
      <c r="B49" s="149"/>
      <c r="C49" s="149">
        <f>FLUJO_DE_CAJA_PROYECTO!C189</f>
        <v>16110</v>
      </c>
      <c r="D49" s="149"/>
      <c r="E49" s="149"/>
      <c r="F49" s="149"/>
      <c r="G49" s="149"/>
    </row>
    <row r="50" spans="1:7" ht="12.75">
      <c r="A50" t="str">
        <f>FLUJO_DE_CAJA_PROYECTO!A190</f>
        <v>AMORTIZACION DE PRESTAMOS</v>
      </c>
      <c r="B50" s="149"/>
      <c r="C50" s="149"/>
      <c r="D50" s="149">
        <f>FLUJO_DE_CAJA_PROYECTO!D190</f>
        <v>8273.453794651432</v>
      </c>
      <c r="E50" s="149">
        <f>FLUJO_DE_CAJA_PROYECTO!E190</f>
        <v>7715.546205348568</v>
      </c>
      <c r="F50" s="149">
        <f>FLUJO_DE_CAJA_PROYECTO!F190</f>
        <v>121</v>
      </c>
      <c r="G50" s="149"/>
    </row>
    <row r="51" spans="1:7" ht="12.75">
      <c r="A51" s="150" t="str">
        <f>FLUJO_DE_CAJA_PROYECTO!A191</f>
        <v>INVERSION EN PAPELES DE BOLSA</v>
      </c>
      <c r="B51" s="151"/>
      <c r="C51" s="151">
        <f>FLUJO_DE_CAJA_PROYECTO!C191</f>
        <v>0</v>
      </c>
      <c r="D51" s="151">
        <f>FLUJO_DE_CAJA_PROYECTO!D191</f>
        <v>0</v>
      </c>
      <c r="E51" s="151">
        <f>FLUJO_DE_CAJA_PROYECTO!E191</f>
        <v>8794.738310763474</v>
      </c>
      <c r="F51" s="151">
        <f>FLUJO_DE_CAJA_PROYECTO!F191</f>
        <v>33253.433852728005</v>
      </c>
      <c r="G51" s="151">
        <f>FLUJO_DE_CAJA_PROYECTO!G191</f>
        <v>65919.93932461177</v>
      </c>
    </row>
    <row r="52" spans="1:7" ht="12.75">
      <c r="A52" t="str">
        <f>FLUJO_DE_CAJA_PROYECTO!A192</f>
        <v>NUEVO SALDO DEL ANO</v>
      </c>
      <c r="B52" s="149"/>
      <c r="C52" s="149">
        <f>FLUJO_DE_CAJA_PROYECTO!C192</f>
        <v>110</v>
      </c>
      <c r="D52" s="149">
        <f>FLUJO_DE_CAJA_PROYECTO!D192</f>
        <v>0</v>
      </c>
      <c r="E52" s="149">
        <f>FLUJO_DE_CAJA_PROYECTO!E192</f>
        <v>11</v>
      </c>
      <c r="F52" s="149">
        <f>FLUJO_DE_CAJA_PROYECTO!F192</f>
        <v>29</v>
      </c>
      <c r="G52" s="149">
        <f>FLUJO_DE_CAJA_PROYECTO!G192</f>
        <v>0</v>
      </c>
    </row>
    <row r="53" spans="1:7" ht="12.75">
      <c r="A53" t="str">
        <f>FLUJO_DE_CAJA_PROYECTO!A194</f>
        <v>SALDO ACUMULADO</v>
      </c>
      <c r="B53">
        <f>FLUJO_DE_CAJA_PROYECTO!B194</f>
        <v>0</v>
      </c>
      <c r="C53">
        <f>FLUJO_DE_CAJA_PROYECTO!C194</f>
        <v>110</v>
      </c>
      <c r="D53">
        <f>FLUJO_DE_CAJA_PROYECTO!D194</f>
        <v>110</v>
      </c>
      <c r="E53">
        <f>FLUJO_DE_CAJA_PROYECTO!E194</f>
        <v>121</v>
      </c>
      <c r="F53">
        <f>FLUJO_DE_CAJA_PROYECTO!F194</f>
        <v>150</v>
      </c>
      <c r="G53">
        <f>FLUJO_DE_CAJA_PROYECTO!G194</f>
        <v>150</v>
      </c>
    </row>
    <row r="54" ht="12.75">
      <c r="A54" s="134" t="s">
        <v>423</v>
      </c>
    </row>
    <row r="56" spans="1:7" ht="12.75">
      <c r="A56" t="str">
        <f aca="true" t="shared" si="0" ref="A56:A61">A10</f>
        <v>INGRESOS</v>
      </c>
      <c r="B56" s="149"/>
      <c r="C56" s="149"/>
      <c r="D56" s="149"/>
      <c r="E56" s="149"/>
      <c r="F56" s="149"/>
      <c r="G56" s="149"/>
    </row>
    <row r="57" spans="1:7" ht="12.75">
      <c r="A57" s="150" t="str">
        <f t="shared" si="0"/>
        <v>VENTAS ANO 1</v>
      </c>
      <c r="B57" s="151">
        <f>B11</f>
        <v>50518.07955081923</v>
      </c>
      <c r="C57" s="151"/>
      <c r="D57" s="151">
        <f>D11</f>
        <v>47992.17557327827</v>
      </c>
      <c r="E57" s="151">
        <f>E11</f>
        <v>2525.9039775409638</v>
      </c>
      <c r="F57" s="151"/>
      <c r="G57" s="151"/>
    </row>
    <row r="58" spans="1:7" ht="12.75">
      <c r="A58" s="150" t="str">
        <f t="shared" si="0"/>
        <v>VENTAS ANO 2</v>
      </c>
      <c r="B58" s="151">
        <f>B12</f>
        <v>67165.81980747901</v>
      </c>
      <c r="C58" s="151"/>
      <c r="D58" s="151"/>
      <c r="E58" s="151">
        <f>E12</f>
        <v>63807.528817105056</v>
      </c>
      <c r="F58" s="151">
        <f>F12</f>
        <v>3358.2909903739564</v>
      </c>
      <c r="G58" s="151"/>
    </row>
    <row r="59" spans="1:7" ht="12.75">
      <c r="A59" s="150" t="str">
        <f t="shared" si="0"/>
        <v>VENTAS ANO 3</v>
      </c>
      <c r="B59" s="151">
        <f>B13</f>
        <v>86219.88695575621</v>
      </c>
      <c r="C59" s="151"/>
      <c r="D59" s="151"/>
      <c r="E59" s="151"/>
      <c r="F59" s="151">
        <f>F13</f>
        <v>81908.8926079684</v>
      </c>
      <c r="G59" s="151">
        <f>G13</f>
        <v>4310.994347787811</v>
      </c>
    </row>
    <row r="60" spans="1:7" ht="12.75">
      <c r="A60" s="150" t="str">
        <f t="shared" si="0"/>
        <v>VENTAS ANO 4</v>
      </c>
      <c r="B60" s="151">
        <f>B14</f>
        <v>108168.183472601</v>
      </c>
      <c r="C60" s="151"/>
      <c r="D60" s="151"/>
      <c r="E60" s="151"/>
      <c r="F60" s="151"/>
      <c r="G60" s="151">
        <f>G14</f>
        <v>102759.77429897094</v>
      </c>
    </row>
    <row r="61" spans="1:7" ht="12.75">
      <c r="A61" s="150" t="str">
        <f t="shared" si="0"/>
        <v>TOTAL INGRESO DE CARTERA</v>
      </c>
      <c r="B61" s="151"/>
      <c r="C61" s="151"/>
      <c r="D61" s="151">
        <f>D15</f>
        <v>47992.17557327827</v>
      </c>
      <c r="E61" s="151">
        <f>E15</f>
        <v>66333.43279464603</v>
      </c>
      <c r="F61" s="151">
        <f>F15</f>
        <v>85267.18359834235</v>
      </c>
      <c r="G61" s="151">
        <f>G15</f>
        <v>107070.76864675875</v>
      </c>
    </row>
    <row r="62" spans="2:7" ht="12.75">
      <c r="B62" s="149"/>
      <c r="C62" s="149"/>
      <c r="D62" s="149"/>
      <c r="E62" s="149"/>
      <c r="F62" s="149"/>
      <c r="G62" s="149"/>
    </row>
    <row r="63" spans="1:7" ht="12.75">
      <c r="A63" s="150" t="str">
        <f aca="true" t="shared" si="1" ref="A63:G63">A17</f>
        <v>VENTA DE PAPELES DE BOLSA</v>
      </c>
      <c r="B63" s="151"/>
      <c r="C63" s="151"/>
      <c r="D63" s="151"/>
      <c r="E63" s="151"/>
      <c r="F63" s="151">
        <f t="shared" si="1"/>
        <v>8794.738310821078</v>
      </c>
      <c r="G63" s="151">
        <f t="shared" si="1"/>
        <v>33253.433854044706</v>
      </c>
    </row>
    <row r="64" spans="1:7" ht="12.75">
      <c r="A64" s="150" t="str">
        <f aca="true" t="shared" si="2" ref="A64:G64">A18</f>
        <v>RENDIMIENTOS DE INVERSIONES</v>
      </c>
      <c r="B64" s="151"/>
      <c r="C64" s="151"/>
      <c r="D64" s="151"/>
      <c r="E64" s="151"/>
      <c r="F64" s="151">
        <f t="shared" si="2"/>
        <v>2485.393046638036</v>
      </c>
      <c r="G64" s="151">
        <f t="shared" si="2"/>
        <v>9044.93400830016</v>
      </c>
    </row>
    <row r="65" spans="2:7" ht="12.75">
      <c r="B65" s="149"/>
      <c r="C65" s="149"/>
      <c r="D65" s="149"/>
      <c r="E65" s="149"/>
      <c r="F65" s="149"/>
      <c r="G65" s="149"/>
    </row>
    <row r="66" spans="1:7" ht="12.75">
      <c r="A66" t="str">
        <f>A20</f>
        <v>TOTAL INGRESOS</v>
      </c>
      <c r="B66" s="149"/>
      <c r="C66" s="149"/>
      <c r="D66" s="149">
        <f>SUM(D61:D65)</f>
        <v>47992.17557327827</v>
      </c>
      <c r="E66" s="149">
        <f>SUM(E61:E65)</f>
        <v>66333.43279464603</v>
      </c>
      <c r="F66" s="149">
        <f>SUM(F61:F65)</f>
        <v>96547.31495580147</v>
      </c>
      <c r="G66" s="149">
        <f>SUM(G61:G65)</f>
        <v>149369.1365091036</v>
      </c>
    </row>
    <row r="67" spans="2:7" ht="12.75">
      <c r="B67" s="149"/>
      <c r="C67" s="149"/>
      <c r="D67" s="149"/>
      <c r="E67" s="149"/>
      <c r="F67" s="149"/>
      <c r="G67" s="149"/>
    </row>
    <row r="68" spans="1:7" ht="12.75">
      <c r="A68" t="str">
        <f>A22</f>
        <v>EGRESOS</v>
      </c>
      <c r="B68" s="149"/>
      <c r="C68" s="149"/>
      <c r="D68" s="149"/>
      <c r="E68" s="149"/>
      <c r="F68" s="149"/>
      <c r="G68" s="149"/>
    </row>
    <row r="69" spans="2:7" ht="12.75">
      <c r="B69" s="149"/>
      <c r="C69" s="149"/>
      <c r="D69" s="149"/>
      <c r="E69" s="149"/>
      <c r="F69" s="149"/>
      <c r="G69" s="149"/>
    </row>
    <row r="70" spans="1:7" ht="12.75">
      <c r="A70" t="str">
        <f>A24</f>
        <v>PROVEEDORES</v>
      </c>
      <c r="B70" s="149"/>
      <c r="C70" s="149"/>
      <c r="D70" s="149"/>
      <c r="E70" s="149"/>
      <c r="F70" s="149"/>
      <c r="G70" s="149"/>
    </row>
    <row r="71" spans="1:7" ht="12.75">
      <c r="A71" s="150" t="str">
        <f aca="true" t="shared" si="3" ref="A71:G85">A25</f>
        <v>COMPRAS ANO 1</v>
      </c>
      <c r="B71" s="151">
        <f t="shared" si="3"/>
        <v>26680.408236095074</v>
      </c>
      <c r="C71" s="151"/>
      <c r="D71" s="151">
        <f t="shared" si="3"/>
        <v>24012.367412485568</v>
      </c>
      <c r="E71" s="151">
        <f t="shared" si="3"/>
        <v>2668.0408236095063</v>
      </c>
      <c r="F71" s="151">
        <f t="shared" si="3"/>
        <v>0</v>
      </c>
      <c r="G71" s="151">
        <f t="shared" si="3"/>
        <v>0</v>
      </c>
    </row>
    <row r="72" spans="1:7" ht="12.75">
      <c r="A72" s="150" t="str">
        <f t="shared" si="3"/>
        <v>COMPRAS ANO 2</v>
      </c>
      <c r="B72" s="151">
        <f t="shared" si="3"/>
        <v>32987.69295645662</v>
      </c>
      <c r="C72" s="151"/>
      <c r="D72" s="151"/>
      <c r="E72" s="151">
        <f t="shared" si="3"/>
        <v>29688.92366081096</v>
      </c>
      <c r="F72" s="151">
        <f t="shared" si="3"/>
        <v>3298.769295645663</v>
      </c>
      <c r="G72" s="151">
        <f t="shared" si="3"/>
        <v>0</v>
      </c>
    </row>
    <row r="73" spans="1:7" ht="12.75">
      <c r="A73" s="150" t="str">
        <f t="shared" si="3"/>
        <v>COMPRAS ANO 3</v>
      </c>
      <c r="B73" s="151">
        <f t="shared" si="3"/>
        <v>40588.560652416934</v>
      </c>
      <c r="C73" s="151"/>
      <c r="D73" s="151"/>
      <c r="E73" s="151"/>
      <c r="F73" s="151">
        <f t="shared" si="3"/>
        <v>36529.70458717524</v>
      </c>
      <c r="G73" s="151">
        <f t="shared" si="3"/>
        <v>4058.8560652416927</v>
      </c>
    </row>
    <row r="74" spans="1:7" ht="12.75">
      <c r="A74" s="150" t="str">
        <f t="shared" si="3"/>
        <v>COMPRAS ANO 4</v>
      </c>
      <c r="B74" s="151">
        <f t="shared" si="3"/>
        <v>49828.053465947734</v>
      </c>
      <c r="C74" s="151"/>
      <c r="D74" s="151"/>
      <c r="E74" s="151"/>
      <c r="F74" s="151"/>
      <c r="G74" s="151">
        <f t="shared" si="3"/>
        <v>44845.24811935296</v>
      </c>
    </row>
    <row r="75" spans="1:7" ht="12.75">
      <c r="A75" s="150" t="str">
        <f t="shared" si="3"/>
        <v>TOTAL PAGO A PROVEEDORES</v>
      </c>
      <c r="B75" s="151"/>
      <c r="C75" s="151"/>
      <c r="D75" s="151">
        <f t="shared" si="3"/>
        <v>24012.367412485568</v>
      </c>
      <c r="E75" s="151">
        <f t="shared" si="3"/>
        <v>32356.964484420467</v>
      </c>
      <c r="F75" s="151">
        <f t="shared" si="3"/>
        <v>39828.47388282091</v>
      </c>
      <c r="G75" s="151">
        <f t="shared" si="3"/>
        <v>48904.10418459465</v>
      </c>
    </row>
    <row r="76" spans="1:7" ht="12.75">
      <c r="A76" s="150" t="str">
        <f t="shared" si="3"/>
        <v>SUELDOS Y PRESTACIONES</v>
      </c>
      <c r="B76" s="151"/>
      <c r="C76" s="151"/>
      <c r="D76" s="151">
        <f t="shared" si="3"/>
        <v>5194.567020534301</v>
      </c>
      <c r="E76" s="151">
        <f t="shared" si="3"/>
        <v>6462.634608598357</v>
      </c>
      <c r="F76" s="151">
        <f t="shared" si="3"/>
        <v>7891.948309630195</v>
      </c>
      <c r="G76" s="151">
        <f t="shared" si="3"/>
        <v>9605.275910562981</v>
      </c>
    </row>
    <row r="77" spans="1:7" ht="12.75">
      <c r="A77" s="150" t="str">
        <f t="shared" si="3"/>
        <v>CESANTIAS</v>
      </c>
      <c r="B77" s="151"/>
      <c r="C77" s="151"/>
      <c r="D77" s="151">
        <f t="shared" si="3"/>
        <v>0</v>
      </c>
      <c r="E77" s="151">
        <f t="shared" si="3"/>
        <v>376.29519887704805</v>
      </c>
      <c r="F77" s="151">
        <f t="shared" si="3"/>
        <v>475.4145495186975</v>
      </c>
      <c r="G77" s="151">
        <f t="shared" si="3"/>
        <v>587.6247173893905</v>
      </c>
    </row>
    <row r="78" spans="1:7" ht="12.75">
      <c r="A78" s="150" t="str">
        <f t="shared" si="3"/>
        <v>HONORARIOS</v>
      </c>
      <c r="B78" s="151"/>
      <c r="C78" s="151"/>
      <c r="D78" s="151">
        <f t="shared" si="3"/>
        <v>555</v>
      </c>
      <c r="E78" s="151">
        <f t="shared" si="3"/>
        <v>682.65</v>
      </c>
      <c r="F78" s="151">
        <f t="shared" si="3"/>
        <v>826.0065</v>
      </c>
      <c r="G78" s="151">
        <f t="shared" si="3"/>
        <v>999.467865</v>
      </c>
    </row>
    <row r="79" spans="1:7" ht="12.75">
      <c r="A79" s="150" t="str">
        <f t="shared" si="3"/>
        <v>COMISIONES DE VENTAS</v>
      </c>
      <c r="B79" s="151"/>
      <c r="C79" s="151"/>
      <c r="D79" s="151">
        <f t="shared" si="3"/>
        <v>1515.5423865245768</v>
      </c>
      <c r="E79" s="151">
        <f t="shared" si="3"/>
        <v>2014.9745942243703</v>
      </c>
      <c r="F79" s="151">
        <f t="shared" si="3"/>
        <v>2586.596608672686</v>
      </c>
      <c r="G79" s="151">
        <f t="shared" si="3"/>
        <v>3245.0455041780297</v>
      </c>
    </row>
    <row r="80" spans="1:7" ht="12.75">
      <c r="A80" s="150" t="str">
        <f t="shared" si="3"/>
        <v>GASTOS GENERALES ANO 1</v>
      </c>
      <c r="B80" s="151">
        <f t="shared" si="3"/>
        <v>2140.2</v>
      </c>
      <c r="C80" s="151"/>
      <c r="D80" s="151">
        <f t="shared" si="3"/>
        <v>1926.1799999999998</v>
      </c>
      <c r="E80" s="151">
        <f t="shared" si="3"/>
        <v>214.01999999999992</v>
      </c>
      <c r="F80" s="151">
        <f t="shared" si="3"/>
        <v>0</v>
      </c>
      <c r="G80" s="151">
        <f t="shared" si="3"/>
        <v>0</v>
      </c>
    </row>
    <row r="81" spans="1:7" ht="12.75">
      <c r="A81" s="150" t="str">
        <f t="shared" si="3"/>
        <v>GASTOS GENERALES ANO 2</v>
      </c>
      <c r="B81" s="151">
        <f t="shared" si="3"/>
        <v>2653.848</v>
      </c>
      <c r="C81" s="151"/>
      <c r="D81" s="151">
        <f t="shared" si="3"/>
        <v>0</v>
      </c>
      <c r="E81" s="151">
        <f t="shared" si="3"/>
        <v>2388.4632</v>
      </c>
      <c r="F81" s="151">
        <f t="shared" si="3"/>
        <v>265.3847999999998</v>
      </c>
      <c r="G81" s="151">
        <f t="shared" si="3"/>
        <v>0</v>
      </c>
    </row>
    <row r="82" spans="1:7" ht="12.75">
      <c r="A82" s="150" t="str">
        <f t="shared" si="3"/>
        <v>GASTOS GENERALES ANO 3</v>
      </c>
      <c r="B82" s="151">
        <f t="shared" si="3"/>
        <v>3264.23304</v>
      </c>
      <c r="C82" s="151"/>
      <c r="D82" s="151">
        <f t="shared" si="3"/>
        <v>0</v>
      </c>
      <c r="E82" s="151">
        <f t="shared" si="3"/>
        <v>0</v>
      </c>
      <c r="F82" s="151">
        <f t="shared" si="3"/>
        <v>2937.809736</v>
      </c>
      <c r="G82" s="151">
        <f t="shared" si="3"/>
        <v>326.4233039999999</v>
      </c>
    </row>
    <row r="83" spans="1:7" ht="12.75">
      <c r="A83" s="150" t="str">
        <f t="shared" si="3"/>
        <v>GASTOS GENERALES ANO 4</v>
      </c>
      <c r="B83" s="151">
        <f t="shared" si="3"/>
        <v>4015.0066392</v>
      </c>
      <c r="C83" s="151"/>
      <c r="D83" s="151">
        <f t="shared" si="3"/>
        <v>0</v>
      </c>
      <c r="E83" s="151">
        <f t="shared" si="3"/>
        <v>0</v>
      </c>
      <c r="F83" s="151">
        <f t="shared" si="3"/>
        <v>0</v>
      </c>
      <c r="G83" s="151">
        <f t="shared" si="3"/>
        <v>3613.50597528</v>
      </c>
    </row>
    <row r="84" spans="1:7" ht="12.75">
      <c r="A84" s="150" t="str">
        <f t="shared" si="3"/>
        <v>PUBLICIDAD</v>
      </c>
      <c r="B84" s="151"/>
      <c r="C84" s="151"/>
      <c r="D84" s="151">
        <f t="shared" si="3"/>
        <v>1515.5423865245768</v>
      </c>
      <c r="E84" s="151">
        <f t="shared" si="3"/>
        <v>2014.9745942243703</v>
      </c>
      <c r="F84" s="151">
        <f t="shared" si="3"/>
        <v>2586.596608672686</v>
      </c>
      <c r="G84" s="151">
        <f t="shared" si="3"/>
        <v>3245.0455041780297</v>
      </c>
    </row>
    <row r="85" spans="1:7" ht="12.75">
      <c r="A85" s="150" t="str">
        <f t="shared" si="3"/>
        <v>COMPRA DE ACTIVOS</v>
      </c>
      <c r="B85" s="151"/>
      <c r="C85" s="151">
        <f t="shared" si="3"/>
        <v>40000</v>
      </c>
      <c r="D85" s="151">
        <f t="shared" si="3"/>
        <v>0</v>
      </c>
      <c r="E85" s="151">
        <f t="shared" si="3"/>
        <v>0</v>
      </c>
      <c r="F85" s="151">
        <f t="shared" si="3"/>
        <v>0</v>
      </c>
      <c r="G85" s="151">
        <f t="shared" si="3"/>
        <v>0</v>
      </c>
    </row>
    <row r="86" spans="2:7" ht="12.75">
      <c r="B86" s="149"/>
      <c r="C86" s="149"/>
      <c r="D86" s="149"/>
      <c r="E86" s="149"/>
      <c r="F86" s="149"/>
      <c r="G86" s="149"/>
    </row>
    <row r="87" spans="2:7" ht="12.75">
      <c r="B87" s="149"/>
      <c r="C87" s="149"/>
      <c r="D87" s="149"/>
      <c r="E87" s="149"/>
      <c r="F87" s="149"/>
      <c r="G87" s="149"/>
    </row>
    <row r="88" spans="1:7" ht="12.75">
      <c r="A88" s="150" t="str">
        <f>A42</f>
        <v>IMPUESTOS EXTRAS POR AJUSTE POR INFLACION</v>
      </c>
      <c r="B88" s="151"/>
      <c r="C88" s="151">
        <f aca="true" t="shared" si="4" ref="C88:G89">C42</f>
        <v>0</v>
      </c>
      <c r="D88" s="151">
        <f t="shared" si="4"/>
        <v>0</v>
      </c>
      <c r="E88" s="151">
        <f t="shared" si="4"/>
        <v>0</v>
      </c>
      <c r="F88" s="151">
        <f t="shared" si="4"/>
        <v>0</v>
      </c>
      <c r="G88" s="151">
        <f t="shared" si="4"/>
        <v>0</v>
      </c>
    </row>
    <row r="89" spans="1:7" ht="12.75">
      <c r="A89" s="150" t="str">
        <f>A43</f>
        <v>IMPUESTOS</v>
      </c>
      <c r="B89" s="151"/>
      <c r="C89" s="151">
        <f t="shared" si="4"/>
        <v>0</v>
      </c>
      <c r="D89" s="151">
        <f t="shared" si="4"/>
        <v>0</v>
      </c>
      <c r="E89" s="151">
        <f t="shared" si="4"/>
        <v>597.5028167962804</v>
      </c>
      <c r="F89" s="151">
        <f t="shared" si="4"/>
        <v>3806.8918374690365</v>
      </c>
      <c r="G89" s="151">
        <f t="shared" si="4"/>
        <v>8615.136146205856</v>
      </c>
    </row>
    <row r="90" spans="2:7" ht="12.75">
      <c r="B90" s="149"/>
      <c r="C90" s="149"/>
      <c r="D90" s="149"/>
      <c r="E90" s="149"/>
      <c r="F90" s="149"/>
      <c r="G90" s="149"/>
    </row>
    <row r="91" spans="1:7" ht="12.75">
      <c r="A91" t="str">
        <f>A45</f>
        <v>TOTAL EGRESOS</v>
      </c>
      <c r="B91" s="149"/>
      <c r="C91" s="149"/>
      <c r="D91" s="149">
        <f>SUM(D75:D89)</f>
        <v>34719.19920606902</v>
      </c>
      <c r="E91" s="149">
        <f>SUM(E75:E89)</f>
        <v>47108.47949714089</v>
      </c>
      <c r="F91" s="149">
        <f>SUM(F75:F89)</f>
        <v>61205.12283278421</v>
      </c>
      <c r="G91" s="149">
        <f>SUM(G75:G89)</f>
        <v>79141.62911138893</v>
      </c>
    </row>
    <row r="92" spans="2:7" ht="12.75">
      <c r="B92" s="149"/>
      <c r="C92" s="149"/>
      <c r="D92" s="149"/>
      <c r="E92" s="149"/>
      <c r="F92" s="149"/>
      <c r="G92" s="149"/>
    </row>
    <row r="93" spans="2:7" ht="12.75">
      <c r="B93" s="149"/>
      <c r="C93" s="149"/>
      <c r="D93" s="149"/>
      <c r="E93" s="149"/>
      <c r="F93" s="149"/>
      <c r="G93" s="149"/>
    </row>
    <row r="94" spans="2:7" ht="12.75">
      <c r="B94" s="149"/>
      <c r="C94" s="149"/>
      <c r="D94" s="149"/>
      <c r="E94" s="149"/>
      <c r="F94" s="149"/>
      <c r="G94" s="149"/>
    </row>
    <row r="95" spans="2:7" ht="12.75">
      <c r="B95" s="149"/>
      <c r="C95" s="149"/>
      <c r="D95" s="149"/>
      <c r="E95" s="149"/>
      <c r="F95" s="149"/>
      <c r="G95" s="149"/>
    </row>
    <row r="96" spans="2:7" ht="12.75">
      <c r="B96" s="149"/>
      <c r="C96" s="149"/>
      <c r="D96" s="149"/>
      <c r="E96" s="149"/>
      <c r="F96" s="149"/>
      <c r="G96" s="149"/>
    </row>
    <row r="97" spans="1:7" ht="12.75">
      <c r="A97" s="150" t="str">
        <f>A51</f>
        <v>INVERSION EN PAPELES DE BOLSA</v>
      </c>
      <c r="B97" s="151">
        <f aca="true" t="shared" si="5" ref="B97:G97">B51</f>
        <v>0</v>
      </c>
      <c r="C97" s="151">
        <f t="shared" si="5"/>
        <v>0</v>
      </c>
      <c r="D97" s="151">
        <f t="shared" si="5"/>
        <v>0</v>
      </c>
      <c r="E97" s="151">
        <f t="shared" si="5"/>
        <v>8794.738310763474</v>
      </c>
      <c r="F97" s="151">
        <f t="shared" si="5"/>
        <v>33253.433852728005</v>
      </c>
      <c r="G97" s="151">
        <f t="shared" si="5"/>
        <v>65919.93932461177</v>
      </c>
    </row>
    <row r="98" spans="2:7" ht="12.75">
      <c r="B98" s="149"/>
      <c r="C98" s="149"/>
      <c r="D98" s="149"/>
      <c r="E98" s="149"/>
      <c r="F98" s="149"/>
      <c r="G98" s="149"/>
    </row>
    <row r="99" spans="1:7" ht="12.75">
      <c r="A99" t="s">
        <v>424</v>
      </c>
      <c r="B99" s="149"/>
      <c r="C99" s="149">
        <f>C66-C91-C97</f>
        <v>0</v>
      </c>
      <c r="D99" s="149">
        <f>D66-D91-D97</f>
        <v>13272.976367209252</v>
      </c>
      <c r="E99" s="149">
        <f>E66-E91-E97</f>
        <v>10430.21498674166</v>
      </c>
      <c r="F99" s="149">
        <f>F66-F91-F97</f>
        <v>2088.758270289254</v>
      </c>
      <c r="G99" s="149">
        <f>G66-G91-G97</f>
        <v>4307.568073102913</v>
      </c>
    </row>
    <row r="100" spans="1:7" ht="12.75">
      <c r="A100" t="s">
        <v>425</v>
      </c>
      <c r="B100" s="149"/>
      <c r="C100" s="149"/>
      <c r="D100" s="149">
        <f>FLUJO_DE_CAJA_PROYECTO!D210</f>
        <v>0</v>
      </c>
      <c r="E100" s="149">
        <f>FLUJO_DE_CAJA_PROYECTO!E210</f>
        <v>-1874.8209647091794</v>
      </c>
      <c r="F100" s="149">
        <f>FLUJO_DE_CAJA_PROYECTO!F210</f>
        <v>-901.8440148731062</v>
      </c>
      <c r="G100" s="149">
        <f>FLUJO_DE_CAJA_PROYECTO!G210</f>
        <v>-13.24213183301626</v>
      </c>
    </row>
    <row r="101" spans="2:7" ht="12.75">
      <c r="B101" s="149"/>
      <c r="C101" s="149"/>
      <c r="D101" s="149"/>
      <c r="E101" s="149"/>
      <c r="F101" s="149"/>
      <c r="G101" s="149"/>
    </row>
    <row r="102" spans="1:7" ht="12.75">
      <c r="A102" s="59" t="s">
        <v>442</v>
      </c>
      <c r="B102" s="149"/>
      <c r="C102" s="149"/>
      <c r="D102" s="149">
        <f>-D53</f>
        <v>-110</v>
      </c>
      <c r="E102" s="149">
        <f>-E53</f>
        <v>-121</v>
      </c>
      <c r="F102" s="149">
        <f>-F53</f>
        <v>-150</v>
      </c>
      <c r="G102" s="149">
        <f>-G53</f>
        <v>-150</v>
      </c>
    </row>
    <row r="103" spans="1:7" ht="12.75">
      <c r="A103" s="59" t="s">
        <v>443</v>
      </c>
      <c r="B103" s="149"/>
      <c r="C103" s="149"/>
      <c r="D103" s="149">
        <f>C53</f>
        <v>110</v>
      </c>
      <c r="E103" s="149">
        <f>D53</f>
        <v>110</v>
      </c>
      <c r="F103" s="149">
        <f>E53</f>
        <v>121</v>
      </c>
      <c r="G103" s="149">
        <f>F53</f>
        <v>150</v>
      </c>
    </row>
    <row r="104" spans="1:7" ht="12.75">
      <c r="A104" s="87" t="str">
        <f>FLUJO_DE_CAJA_PROYECTO!A216</f>
        <v>FLUJO DE CAJA SIN VALOR TERMINAL</v>
      </c>
      <c r="B104" s="149"/>
      <c r="C104" s="149">
        <f>C99+C100</f>
        <v>0</v>
      </c>
      <c r="D104" s="149">
        <f>D99+D100+D102+D103</f>
        <v>13272.976367209252</v>
      </c>
      <c r="E104" s="149">
        <f>E99+E100+E102+E103</f>
        <v>8544.39402203248</v>
      </c>
      <c r="F104" s="149">
        <f>F99+F100+F102+F103</f>
        <v>1157.914255416148</v>
      </c>
      <c r="G104" s="149">
        <f>G99+G100+G102+G103</f>
        <v>4294.325941269897</v>
      </c>
    </row>
    <row r="105" spans="1:7" ht="12.75">
      <c r="A105" s="87"/>
      <c r="B105" s="149"/>
      <c r="C105" s="149"/>
      <c r="D105" s="149"/>
      <c r="E105" s="149"/>
      <c r="F105" s="149"/>
      <c r="G105" s="149"/>
    </row>
    <row r="106" spans="1:7" ht="12.75">
      <c r="A106" s="87" t="str">
        <f>FLUJO_DE_CAJA_PROYECTO!A227</f>
        <v>VALOR TERMINAL O DE MERCADO </v>
      </c>
      <c r="B106" s="149"/>
      <c r="C106" s="149"/>
      <c r="D106" s="149"/>
      <c r="E106" s="149"/>
      <c r="F106" s="149"/>
      <c r="G106" s="149">
        <f>FLUJO_DE_CAJA_PROYECTO!G227</f>
        <v>118088.094913637</v>
      </c>
    </row>
    <row r="107" spans="1:7" ht="12.75">
      <c r="A107" s="87"/>
      <c r="B107" s="149"/>
      <c r="C107" s="149"/>
      <c r="D107" s="149"/>
      <c r="E107" s="149"/>
      <c r="F107" s="149"/>
      <c r="G107" s="149"/>
    </row>
    <row r="108" spans="1:7" ht="12.75">
      <c r="A108" s="87" t="str">
        <f>FLUJO_DE_CAJA_PROYECTO!A229</f>
        <v>PARA EL PERIODO 0: TOTAL DE ACTIVOS</v>
      </c>
      <c r="B108" s="149"/>
      <c r="C108" s="149"/>
      <c r="D108" s="149"/>
      <c r="E108" s="149"/>
      <c r="F108" s="149"/>
      <c r="G108" s="149"/>
    </row>
    <row r="109" spans="1:7" ht="12.75">
      <c r="A109" s="87" t="str">
        <f>FLUJO_DE_CAJA_PROYECTO!A230</f>
        <v>FLUJO DE CAJA DEL PROYECTO DESPUES DE IMPUESTOS</v>
      </c>
      <c r="B109" s="149"/>
      <c r="C109" s="149">
        <f>-FLUJO_DE_CAJA_PROYECTO!C100</f>
        <v>-40110</v>
      </c>
      <c r="D109" s="149">
        <f>D104+D106</f>
        <v>13272.976367209252</v>
      </c>
      <c r="E109" s="149">
        <f>E104+E106</f>
        <v>8544.39402203248</v>
      </c>
      <c r="F109" s="149">
        <f>F104+F106</f>
        <v>1157.914255416148</v>
      </c>
      <c r="G109" s="149">
        <f>G104+G106</f>
        <v>122382.4208549069</v>
      </c>
    </row>
    <row r="110" spans="1:7" ht="12.75">
      <c r="A110" s="87"/>
      <c r="B110" s="149"/>
      <c r="C110" s="149"/>
      <c r="D110" s="149"/>
      <c r="E110" s="149"/>
      <c r="F110" s="149"/>
      <c r="G110" s="149"/>
    </row>
    <row r="111" spans="1:7" ht="12.75">
      <c r="A111" t="s">
        <v>426</v>
      </c>
      <c r="B111" s="149"/>
      <c r="C111" s="149"/>
      <c r="D111" s="149"/>
      <c r="E111" s="149"/>
      <c r="F111" s="149"/>
      <c r="G111" s="149"/>
    </row>
    <row r="112" spans="1:7" ht="12.75">
      <c r="A112" t="s">
        <v>412</v>
      </c>
      <c r="B112" s="149"/>
      <c r="C112" s="149">
        <f>FLUJO_DE_CAJA_PROYECTO!C230</f>
        <v>-40110</v>
      </c>
      <c r="D112" s="149">
        <f>FLUJO_DE_CAJA_PROYECTO!D230</f>
        <v>13272.976367209245</v>
      </c>
      <c r="E112" s="149">
        <f>FLUJO_DE_CAJA_PROYECTO!E230</f>
        <v>8544.39402203248</v>
      </c>
      <c r="F112" s="149">
        <f>FLUJO_DE_CAJA_PROYECTO!F230</f>
        <v>1157.9142554161222</v>
      </c>
      <c r="G112" s="149">
        <f>FLUJO_DE_CAJA_PROYECTO!G230</f>
        <v>122382.42085490692</v>
      </c>
    </row>
    <row r="113" spans="1:7" ht="12.75">
      <c r="A113" t="s">
        <v>363</v>
      </c>
      <c r="C113" s="149">
        <f>C109-C112</f>
        <v>0</v>
      </c>
      <c r="D113" s="149">
        <f>D109-D112</f>
        <v>0</v>
      </c>
      <c r="E113" s="149">
        <f>E109-E112</f>
        <v>0</v>
      </c>
      <c r="F113" s="149">
        <f>F109-F112</f>
        <v>2.5920599000528455E-11</v>
      </c>
      <c r="G113" s="149">
        <f>G109-G112</f>
        <v>0</v>
      </c>
    </row>
  </sheetData>
  <sheetProtection/>
  <hyperlinks>
    <hyperlink ref="A5" location="MENU!A1" display="MENU"/>
  </hyperlinks>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JAVERIANA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Ignacio Velez</dc:creator>
  <cp:keywords/>
  <dc:description/>
  <cp:lastModifiedBy>IVP</cp:lastModifiedBy>
  <cp:lastPrinted>2000-07-04T15:14:12Z</cp:lastPrinted>
  <dcterms:created xsi:type="dcterms:W3CDTF">1998-12-11T21:58:07Z</dcterms:created>
  <dcterms:modified xsi:type="dcterms:W3CDTF">2009-01-19T12:32:21Z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