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75" windowWidth="18675" windowHeight="8475"/>
  </bookViews>
  <sheets>
    <sheet name="INDICE" sheetId="15" r:id="rId1"/>
    <sheet name="ANEXOS" sheetId="9" r:id="rId2"/>
    <sheet name="TCC-TES" sheetId="10" r:id="rId3"/>
    <sheet name="SECTOR COMERCIO" sheetId="2" r:id="rId4"/>
    <sheet name="SUBSECTOR 29" sheetId="3" r:id="rId5"/>
    <sheet name="ANTONIO ARAUJO &amp; CIA" sheetId="1" r:id="rId6"/>
    <sheet name="CIGE" sheetId="16" r:id="rId7"/>
    <sheet name="Resumen de escenario" sheetId="18" r:id="rId8"/>
  </sheets>
  <definedNames>
    <definedName name="activo_fijo" localSheetId="6">CIGE!#REF!</definedName>
    <definedName name="patrimonio_inicial" localSheetId="6">CIGE!#REF!</definedName>
    <definedName name="_xlnm.Print_Area" localSheetId="6">CIGE!$A$3:$L$279</definedName>
    <definedName name="_xlnm.Print_Titles" localSheetId="6">CIGE!$1:$2</definedName>
  </definedNames>
  <calcPr calcId="125725"/>
</workbook>
</file>

<file path=xl/calcChain.xml><?xml version="1.0" encoding="utf-8"?>
<calcChain xmlns="http://schemas.openxmlformats.org/spreadsheetml/2006/main">
  <c r="D38" i="16"/>
  <c r="D39"/>
  <c r="D37"/>
  <c r="P302" l="1"/>
  <c r="P303"/>
  <c r="P304"/>
  <c r="P301"/>
  <c r="P298"/>
  <c r="P297"/>
  <c r="E309"/>
  <c r="C311"/>
  <c r="D314" l="1"/>
  <c r="K310"/>
  <c r="AP4" i="1"/>
  <c r="AB226" i="16"/>
  <c r="AC4" i="1"/>
  <c r="C122"/>
  <c r="C123"/>
  <c r="P299" i="16"/>
  <c r="P296"/>
  <c r="P290"/>
  <c r="P291"/>
  <c r="P292"/>
  <c r="P293"/>
  <c r="P294"/>
  <c r="P289"/>
  <c r="P286"/>
  <c r="P287"/>
  <c r="P285"/>
  <c r="C69" i="9"/>
  <c r="C72" s="1"/>
  <c r="O301" i="16"/>
  <c r="O302"/>
  <c r="O303"/>
  <c r="O304"/>
  <c r="C71" i="9"/>
  <c r="E82"/>
  <c r="C73" l="1"/>
  <c r="AN226" i="16"/>
  <c r="O297"/>
  <c r="O298"/>
  <c r="O299"/>
  <c r="O296"/>
  <c r="O290"/>
  <c r="O291"/>
  <c r="O292"/>
  <c r="O293"/>
  <c r="O294"/>
  <c r="O289"/>
  <c r="O286"/>
  <c r="O287"/>
  <c r="O285"/>
  <c r="L154" i="1" l="1"/>
  <c r="M130"/>
  <c r="C130"/>
  <c r="D130"/>
  <c r="E130"/>
  <c r="F130"/>
  <c r="G130"/>
  <c r="H130"/>
  <c r="I130"/>
  <c r="J130"/>
  <c r="K130"/>
  <c r="L130"/>
  <c r="D215" i="16"/>
  <c r="D153" s="1"/>
  <c r="D195"/>
  <c r="D74" l="1"/>
  <c r="D140" l="1"/>
  <c r="E140" s="1"/>
  <c r="F140" s="1"/>
  <c r="G140" s="1"/>
  <c r="H140" l="1"/>
  <c r="I140" l="1"/>
  <c r="J140" l="1"/>
  <c r="K140" l="1"/>
  <c r="L140" l="1"/>
  <c r="M140" l="1"/>
  <c r="C270" l="1"/>
  <c r="D262"/>
  <c r="C258"/>
  <c r="C259"/>
  <c r="C260"/>
  <c r="C261"/>
  <c r="C257"/>
  <c r="C256"/>
  <c r="C247"/>
  <c r="D246"/>
  <c r="D130"/>
  <c r="D245"/>
  <c r="C245"/>
  <c r="C244"/>
  <c r="C243"/>
  <c r="C242"/>
  <c r="C241"/>
  <c r="E245" l="1"/>
  <c r="AC245"/>
  <c r="AO245" s="1"/>
  <c r="E246"/>
  <c r="AC246"/>
  <c r="AO246" s="1"/>
  <c r="AB246"/>
  <c r="E262"/>
  <c r="AC262" s="1"/>
  <c r="AO262" s="1"/>
  <c r="AB262"/>
  <c r="D243"/>
  <c r="AB243" s="1"/>
  <c r="D129"/>
  <c r="AB245"/>
  <c r="D247"/>
  <c r="AB247" s="1"/>
  <c r="D257"/>
  <c r="AB257" s="1"/>
  <c r="D260"/>
  <c r="AB260" s="1"/>
  <c r="D258"/>
  <c r="AB258" s="1"/>
  <c r="D242"/>
  <c r="AB242" s="1"/>
  <c r="D244"/>
  <c r="AB244" s="1"/>
  <c r="D261"/>
  <c r="AB261" s="1"/>
  <c r="D259"/>
  <c r="AB259" s="1"/>
  <c r="C274"/>
  <c r="C275"/>
  <c r="C272"/>
  <c r="C271"/>
  <c r="AN242" l="1"/>
  <c r="AN259"/>
  <c r="AN244"/>
  <c r="AN260"/>
  <c r="AN247"/>
  <c r="AN262"/>
  <c r="AN261"/>
  <c r="AN258"/>
  <c r="AN257"/>
  <c r="AN245"/>
  <c r="AN243"/>
  <c r="AN246"/>
  <c r="F246"/>
  <c r="AD246"/>
  <c r="AP246" s="1"/>
  <c r="F245"/>
  <c r="AD245"/>
  <c r="AP245" s="1"/>
  <c r="F262"/>
  <c r="AD262" s="1"/>
  <c r="D272"/>
  <c r="C234"/>
  <c r="E261"/>
  <c r="E242"/>
  <c r="AC242" s="1"/>
  <c r="AO242" s="1"/>
  <c r="E260"/>
  <c r="E247"/>
  <c r="AC247" s="1"/>
  <c r="AO247" s="1"/>
  <c r="E243"/>
  <c r="E259"/>
  <c r="AC259"/>
  <c r="AO259" s="1"/>
  <c r="E244"/>
  <c r="E258"/>
  <c r="AC258" s="1"/>
  <c r="AO258" s="1"/>
  <c r="E257"/>
  <c r="D271"/>
  <c r="D275"/>
  <c r="AB275" s="1"/>
  <c r="C267"/>
  <c r="C265"/>
  <c r="C263"/>
  <c r="C264"/>
  <c r="C239"/>
  <c r="C255"/>
  <c r="AP262" l="1"/>
  <c r="AN275"/>
  <c r="G262"/>
  <c r="G245"/>
  <c r="AE245"/>
  <c r="AQ245" s="1"/>
  <c r="G246"/>
  <c r="AE246"/>
  <c r="AQ246" s="1"/>
  <c r="D264"/>
  <c r="F257"/>
  <c r="AD257" s="1"/>
  <c r="AP257" s="1"/>
  <c r="F244"/>
  <c r="F243"/>
  <c r="AD243" s="1"/>
  <c r="AP243" s="1"/>
  <c r="F260"/>
  <c r="F261"/>
  <c r="AD261"/>
  <c r="AP261" s="1"/>
  <c r="E272"/>
  <c r="D265"/>
  <c r="AB265" s="1"/>
  <c r="E271"/>
  <c r="D263"/>
  <c r="AB263" s="1"/>
  <c r="AB267"/>
  <c r="E275"/>
  <c r="F258"/>
  <c r="AD258" s="1"/>
  <c r="AP258" s="1"/>
  <c r="F259"/>
  <c r="F247"/>
  <c r="AD247" s="1"/>
  <c r="AP247" s="1"/>
  <c r="F242"/>
  <c r="AC257"/>
  <c r="AC244"/>
  <c r="AB271"/>
  <c r="AC243"/>
  <c r="AC260"/>
  <c r="AC261"/>
  <c r="AB272"/>
  <c r="C266"/>
  <c r="C254"/>
  <c r="E265"/>
  <c r="C252"/>
  <c r="AO261" l="1"/>
  <c r="AO244"/>
  <c r="AN263"/>
  <c r="AN272"/>
  <c r="AO260"/>
  <c r="AN271"/>
  <c r="AO257"/>
  <c r="AN267"/>
  <c r="AO243"/>
  <c r="AN265"/>
  <c r="H246"/>
  <c r="AF246"/>
  <c r="AR246" s="1"/>
  <c r="H245"/>
  <c r="AF245"/>
  <c r="H262"/>
  <c r="AF262" s="1"/>
  <c r="AR262" s="1"/>
  <c r="AE262"/>
  <c r="G242"/>
  <c r="F271"/>
  <c r="AD271" s="1"/>
  <c r="AP271" s="1"/>
  <c r="F272"/>
  <c r="G260"/>
  <c r="AE260" s="1"/>
  <c r="AQ260" s="1"/>
  <c r="G244"/>
  <c r="E264"/>
  <c r="AC264" s="1"/>
  <c r="AO264" s="1"/>
  <c r="G259"/>
  <c r="F275"/>
  <c r="AD275" s="1"/>
  <c r="AP275" s="1"/>
  <c r="D252"/>
  <c r="F265"/>
  <c r="AD265"/>
  <c r="AP265" s="1"/>
  <c r="AB266"/>
  <c r="G247"/>
  <c r="G258"/>
  <c r="AE258"/>
  <c r="AQ258" s="1"/>
  <c r="E263"/>
  <c r="AC265"/>
  <c r="AO265" s="1"/>
  <c r="G261"/>
  <c r="AE261"/>
  <c r="AQ261" s="1"/>
  <c r="G243"/>
  <c r="G257"/>
  <c r="AE257" s="1"/>
  <c r="AQ257" s="1"/>
  <c r="AD242"/>
  <c r="AD259"/>
  <c r="AC275"/>
  <c r="AC271"/>
  <c r="AO271" s="1"/>
  <c r="AC272"/>
  <c r="AO272" s="1"/>
  <c r="AD260"/>
  <c r="AP260" s="1"/>
  <c r="AD244"/>
  <c r="AP244" s="1"/>
  <c r="AB264"/>
  <c r="C268"/>
  <c r="D235"/>
  <c r="E235" s="1"/>
  <c r="F235" s="1"/>
  <c r="G235" s="1"/>
  <c r="H235" s="1"/>
  <c r="I235" s="1"/>
  <c r="AN264" l="1"/>
  <c r="AQ262"/>
  <c r="AO275"/>
  <c r="AP242"/>
  <c r="AN266"/>
  <c r="AR245"/>
  <c r="AP259"/>
  <c r="I262"/>
  <c r="AG262" s="1"/>
  <c r="I245"/>
  <c r="AG245"/>
  <c r="AS245" s="1"/>
  <c r="I246"/>
  <c r="AG246"/>
  <c r="AS246" s="1"/>
  <c r="F263"/>
  <c r="AD263" s="1"/>
  <c r="AP263" s="1"/>
  <c r="H247"/>
  <c r="AF247" s="1"/>
  <c r="AR247" s="1"/>
  <c r="E252"/>
  <c r="AC252" s="1"/>
  <c r="AO252" s="1"/>
  <c r="H259"/>
  <c r="AF259" s="1"/>
  <c r="AR259" s="1"/>
  <c r="H244"/>
  <c r="AF244" s="1"/>
  <c r="AR244" s="1"/>
  <c r="G272"/>
  <c r="AE272" s="1"/>
  <c r="AQ272" s="1"/>
  <c r="H242"/>
  <c r="AF242" s="1"/>
  <c r="AR242" s="1"/>
  <c r="H243"/>
  <c r="AF243" s="1"/>
  <c r="AR243" s="1"/>
  <c r="H257"/>
  <c r="AF257" s="1"/>
  <c r="AR257" s="1"/>
  <c r="H261"/>
  <c r="H258"/>
  <c r="AF258"/>
  <c r="AR258" s="1"/>
  <c r="G265"/>
  <c r="AE265" s="1"/>
  <c r="AQ265" s="1"/>
  <c r="G275"/>
  <c r="AE275" s="1"/>
  <c r="AQ275" s="1"/>
  <c r="F264"/>
  <c r="AD264" s="1"/>
  <c r="AP264" s="1"/>
  <c r="H260"/>
  <c r="AF260" s="1"/>
  <c r="AR260" s="1"/>
  <c r="G271"/>
  <c r="AE243"/>
  <c r="AC263"/>
  <c r="AE247"/>
  <c r="AB252"/>
  <c r="AE259"/>
  <c r="AQ259" s="1"/>
  <c r="AE244"/>
  <c r="AQ244" s="1"/>
  <c r="AD272"/>
  <c r="AP272" s="1"/>
  <c r="AE242"/>
  <c r="AQ242" s="1"/>
  <c r="J235"/>
  <c r="I161"/>
  <c r="AS262" l="1"/>
  <c r="AQ243"/>
  <c r="AN252"/>
  <c r="AO263"/>
  <c r="AQ247"/>
  <c r="J246"/>
  <c r="AH246"/>
  <c r="AT246" s="1"/>
  <c r="J245"/>
  <c r="AH245"/>
  <c r="AT245" s="1"/>
  <c r="J262"/>
  <c r="AH262" s="1"/>
  <c r="H271"/>
  <c r="I261"/>
  <c r="AG261" s="1"/>
  <c r="AS261" s="1"/>
  <c r="I260"/>
  <c r="H275"/>
  <c r="AF275" s="1"/>
  <c r="AR275" s="1"/>
  <c r="I258"/>
  <c r="I257"/>
  <c r="AG257"/>
  <c r="AS257" s="1"/>
  <c r="I242"/>
  <c r="I244"/>
  <c r="AG244" s="1"/>
  <c r="AS244" s="1"/>
  <c r="F252"/>
  <c r="G263"/>
  <c r="AE263" s="1"/>
  <c r="AQ263" s="1"/>
  <c r="AE271"/>
  <c r="AF261"/>
  <c r="G264"/>
  <c r="AE264" s="1"/>
  <c r="AQ264" s="1"/>
  <c r="H265"/>
  <c r="I243"/>
  <c r="H272"/>
  <c r="AF272" s="1"/>
  <c r="AR272" s="1"/>
  <c r="I259"/>
  <c r="I247"/>
  <c r="AG247" s="1"/>
  <c r="K235"/>
  <c r="J161"/>
  <c r="AT262" l="1"/>
  <c r="AS247"/>
  <c r="AR261"/>
  <c r="AQ271"/>
  <c r="K262"/>
  <c r="K245"/>
  <c r="AI245"/>
  <c r="AU245" s="1"/>
  <c r="K246"/>
  <c r="AI246"/>
  <c r="AU246" s="1"/>
  <c r="J259"/>
  <c r="J243"/>
  <c r="AH243" s="1"/>
  <c r="AT243" s="1"/>
  <c r="G252"/>
  <c r="J242"/>
  <c r="AH242" s="1"/>
  <c r="AT242" s="1"/>
  <c r="J258"/>
  <c r="J260"/>
  <c r="AH260" s="1"/>
  <c r="AT260" s="1"/>
  <c r="I271"/>
  <c r="H264"/>
  <c r="J247"/>
  <c r="I272"/>
  <c r="AG272" s="1"/>
  <c r="AS272" s="1"/>
  <c r="I265"/>
  <c r="H263"/>
  <c r="AF263" s="1"/>
  <c r="AR263" s="1"/>
  <c r="J244"/>
  <c r="J257"/>
  <c r="AH257" s="1"/>
  <c r="AT257" s="1"/>
  <c r="I275"/>
  <c r="J261"/>
  <c r="AH261"/>
  <c r="AT261" s="1"/>
  <c r="AG259"/>
  <c r="AG243"/>
  <c r="AF265"/>
  <c r="AD252"/>
  <c r="AG242"/>
  <c r="AG258"/>
  <c r="AS258" s="1"/>
  <c r="AG260"/>
  <c r="AF271"/>
  <c r="AR271" s="1"/>
  <c r="L235"/>
  <c r="K161"/>
  <c r="AP252" l="1"/>
  <c r="AS260"/>
  <c r="AS242"/>
  <c r="AR265"/>
  <c r="AS259"/>
  <c r="AS243"/>
  <c r="L246"/>
  <c r="AJ246"/>
  <c r="AV246" s="1"/>
  <c r="L245"/>
  <c r="AJ245"/>
  <c r="AV245" s="1"/>
  <c r="L262"/>
  <c r="AJ262" s="1"/>
  <c r="AV262" s="1"/>
  <c r="AI262"/>
  <c r="AU262" s="1"/>
  <c r="J275"/>
  <c r="K244"/>
  <c r="AI244" s="1"/>
  <c r="AU244" s="1"/>
  <c r="J265"/>
  <c r="K247"/>
  <c r="AI247" s="1"/>
  <c r="AU247" s="1"/>
  <c r="J271"/>
  <c r="K258"/>
  <c r="AI258" s="1"/>
  <c r="AU258" s="1"/>
  <c r="H252"/>
  <c r="K259"/>
  <c r="AI259" s="1"/>
  <c r="AU259" s="1"/>
  <c r="AG265"/>
  <c r="AS265" s="1"/>
  <c r="K261"/>
  <c r="AI261" s="1"/>
  <c r="AU261" s="1"/>
  <c r="K257"/>
  <c r="I263"/>
  <c r="AG263"/>
  <c r="AS263" s="1"/>
  <c r="J272"/>
  <c r="I264"/>
  <c r="K260"/>
  <c r="K242"/>
  <c r="AI242" s="1"/>
  <c r="AU242" s="1"/>
  <c r="K243"/>
  <c r="AG275"/>
  <c r="AH244"/>
  <c r="AT244" s="1"/>
  <c r="AH247"/>
  <c r="AT247" s="1"/>
  <c r="AF264"/>
  <c r="AG271"/>
  <c r="AS271" s="1"/>
  <c r="AH258"/>
  <c r="AT258" s="1"/>
  <c r="AE252"/>
  <c r="AQ252" s="1"/>
  <c r="AH259"/>
  <c r="AT259" s="1"/>
  <c r="M235"/>
  <c r="L161"/>
  <c r="AS275" l="1"/>
  <c r="AR264"/>
  <c r="M262"/>
  <c r="AK262"/>
  <c r="M245"/>
  <c r="AK245"/>
  <c r="M246"/>
  <c r="AK246"/>
  <c r="L243"/>
  <c r="AJ243"/>
  <c r="AV243" s="1"/>
  <c r="L260"/>
  <c r="AJ260" s="1"/>
  <c r="AV260" s="1"/>
  <c r="K272"/>
  <c r="AI272" s="1"/>
  <c r="AU272" s="1"/>
  <c r="L257"/>
  <c r="AJ257" s="1"/>
  <c r="AV257" s="1"/>
  <c r="I252"/>
  <c r="AG252" s="1"/>
  <c r="AS252" s="1"/>
  <c r="K271"/>
  <c r="AI271" s="1"/>
  <c r="AU271" s="1"/>
  <c r="K265"/>
  <c r="K275"/>
  <c r="AH265"/>
  <c r="AT265" s="1"/>
  <c r="L242"/>
  <c r="J264"/>
  <c r="J263"/>
  <c r="L261"/>
  <c r="AJ261" s="1"/>
  <c r="AV261" s="1"/>
  <c r="L259"/>
  <c r="AJ259" s="1"/>
  <c r="AV259" s="1"/>
  <c r="L258"/>
  <c r="AJ258" s="1"/>
  <c r="AV258" s="1"/>
  <c r="L247"/>
  <c r="L244"/>
  <c r="AJ244" s="1"/>
  <c r="AV244" s="1"/>
  <c r="AI243"/>
  <c r="AI260"/>
  <c r="AU260" s="1"/>
  <c r="AG264"/>
  <c r="AS264" s="1"/>
  <c r="AH272"/>
  <c r="AT272" s="1"/>
  <c r="AI257"/>
  <c r="AU257" s="1"/>
  <c r="AF252"/>
  <c r="AR252" s="1"/>
  <c r="AH271"/>
  <c r="AT271" s="1"/>
  <c r="AH275"/>
  <c r="AT275" s="1"/>
  <c r="M161"/>
  <c r="AU243" l="1"/>
  <c r="AW246"/>
  <c r="AX246" s="1"/>
  <c r="AL246"/>
  <c r="AW245"/>
  <c r="AX245" s="1"/>
  <c r="AL245"/>
  <c r="AW262"/>
  <c r="AX262" s="1"/>
  <c r="AL262"/>
  <c r="M247"/>
  <c r="K263"/>
  <c r="AI263" s="1"/>
  <c r="AU263" s="1"/>
  <c r="M242"/>
  <c r="L275"/>
  <c r="AJ275"/>
  <c r="AV275" s="1"/>
  <c r="M244"/>
  <c r="M258"/>
  <c r="AK258" s="1"/>
  <c r="M261"/>
  <c r="K264"/>
  <c r="L265"/>
  <c r="J252"/>
  <c r="AH252" s="1"/>
  <c r="AT252" s="1"/>
  <c r="L272"/>
  <c r="M243"/>
  <c r="AK243" s="1"/>
  <c r="AW243" s="1"/>
  <c r="AX243" s="1"/>
  <c r="AJ247"/>
  <c r="AV247" s="1"/>
  <c r="AH263"/>
  <c r="AT263" s="1"/>
  <c r="AH264"/>
  <c r="AT264" s="1"/>
  <c r="AJ242"/>
  <c r="AV242" s="1"/>
  <c r="AI275"/>
  <c r="AU275" s="1"/>
  <c r="AI265"/>
  <c r="AU265" s="1"/>
  <c r="M259"/>
  <c r="L271"/>
  <c r="AJ271" s="1"/>
  <c r="AV271" s="1"/>
  <c r="M257"/>
  <c r="M260"/>
  <c r="AK260" s="1"/>
  <c r="C249"/>
  <c r="D187"/>
  <c r="D189" s="1"/>
  <c r="AW260" l="1"/>
  <c r="AX260" s="1"/>
  <c r="AL260"/>
  <c r="AW258"/>
  <c r="AX258" s="1"/>
  <c r="AL258"/>
  <c r="AL243"/>
  <c r="M272"/>
  <c r="M265"/>
  <c r="AK265" s="1"/>
  <c r="AB249"/>
  <c r="AN249" s="1"/>
  <c r="M271"/>
  <c r="K252"/>
  <c r="AI252" s="1"/>
  <c r="AU252" s="1"/>
  <c r="L264"/>
  <c r="M275"/>
  <c r="AK275" s="1"/>
  <c r="L263"/>
  <c r="AK257"/>
  <c r="AK259"/>
  <c r="AJ272"/>
  <c r="AV272" s="1"/>
  <c r="AJ265"/>
  <c r="AV265" s="1"/>
  <c r="AI264"/>
  <c r="AU264" s="1"/>
  <c r="AK261"/>
  <c r="AK244"/>
  <c r="AK242"/>
  <c r="AK247"/>
  <c r="C251"/>
  <c r="D249"/>
  <c r="C248"/>
  <c r="C240"/>
  <c r="AW265" l="1"/>
  <c r="AX265" s="1"/>
  <c r="AL265"/>
  <c r="AW247"/>
  <c r="AX247" s="1"/>
  <c r="AL247"/>
  <c r="AW257"/>
  <c r="AX257" s="1"/>
  <c r="AL257"/>
  <c r="AW275"/>
  <c r="AX275" s="1"/>
  <c r="AL275"/>
  <c r="AW242"/>
  <c r="AX242" s="1"/>
  <c r="AL242"/>
  <c r="AW261"/>
  <c r="AX261" s="1"/>
  <c r="AL261"/>
  <c r="AW259"/>
  <c r="AX259" s="1"/>
  <c r="AL259"/>
  <c r="AW244"/>
  <c r="AX244" s="1"/>
  <c r="AL244"/>
  <c r="M263"/>
  <c r="M264"/>
  <c r="AK264" s="1"/>
  <c r="E249"/>
  <c r="AC249"/>
  <c r="AO249" s="1"/>
  <c r="C88"/>
  <c r="L252"/>
  <c r="AJ252" s="1"/>
  <c r="AV252" s="1"/>
  <c r="AJ263"/>
  <c r="AV263" s="1"/>
  <c r="AJ264"/>
  <c r="AV264" s="1"/>
  <c r="AK271"/>
  <c r="AK272"/>
  <c r="C238"/>
  <c r="C250"/>
  <c r="AW271" l="1"/>
  <c r="AX271" s="1"/>
  <c r="AL271"/>
  <c r="AW272"/>
  <c r="AX272" s="1"/>
  <c r="AL272"/>
  <c r="AW264"/>
  <c r="AX264" s="1"/>
  <c r="AL264"/>
  <c r="M252"/>
  <c r="AK252" s="1"/>
  <c r="F249"/>
  <c r="AD249"/>
  <c r="AP249" s="1"/>
  <c r="AK263"/>
  <c r="C253"/>
  <c r="O238" s="1"/>
  <c r="AW252" l="1"/>
  <c r="AX252" s="1"/>
  <c r="AL252"/>
  <c r="AW263"/>
  <c r="AX263" s="1"/>
  <c r="AL263"/>
  <c r="O253"/>
  <c r="O246"/>
  <c r="O262"/>
  <c r="O245"/>
  <c r="O257"/>
  <c r="O258"/>
  <c r="O270"/>
  <c r="O241"/>
  <c r="O244"/>
  <c r="O256"/>
  <c r="O259"/>
  <c r="O243"/>
  <c r="O247"/>
  <c r="O260"/>
  <c r="O242"/>
  <c r="O261"/>
  <c r="O274"/>
  <c r="O275"/>
  <c r="O272"/>
  <c r="O271"/>
  <c r="O265"/>
  <c r="O263"/>
  <c r="O267"/>
  <c r="O264"/>
  <c r="O255"/>
  <c r="O239"/>
  <c r="O254"/>
  <c r="O266"/>
  <c r="O252"/>
  <c r="O268"/>
  <c r="O249"/>
  <c r="O240"/>
  <c r="O248"/>
  <c r="O251"/>
  <c r="G249"/>
  <c r="AE249"/>
  <c r="AQ249" s="1"/>
  <c r="O250"/>
  <c r="C231"/>
  <c r="H249" l="1"/>
  <c r="AF249"/>
  <c r="AR249" s="1"/>
  <c r="C229"/>
  <c r="I249" l="1"/>
  <c r="AG249"/>
  <c r="AS249" s="1"/>
  <c r="C228"/>
  <c r="C225"/>
  <c r="C221"/>
  <c r="C220"/>
  <c r="O220" l="1"/>
  <c r="O226"/>
  <c r="O231"/>
  <c r="O228"/>
  <c r="O221"/>
  <c r="C223"/>
  <c r="O225"/>
  <c r="J249"/>
  <c r="AH249"/>
  <c r="AT249" s="1"/>
  <c r="O229"/>
  <c r="C222"/>
  <c r="O223" l="1"/>
  <c r="C227"/>
  <c r="O222"/>
  <c r="K249"/>
  <c r="AI249"/>
  <c r="AU249" s="1"/>
  <c r="L249" l="1"/>
  <c r="AJ249"/>
  <c r="AV249" s="1"/>
  <c r="C230"/>
  <c r="O227"/>
  <c r="O230" l="1"/>
  <c r="C232"/>
  <c r="M249"/>
  <c r="AK249"/>
  <c r="AW249" s="1"/>
  <c r="AX249" s="1"/>
  <c r="O232" l="1"/>
  <c r="D234"/>
  <c r="D274" s="1"/>
  <c r="C273"/>
  <c r="C173"/>
  <c r="D167"/>
  <c r="C269" l="1"/>
  <c r="O273"/>
  <c r="AB274"/>
  <c r="D122"/>
  <c r="D119"/>
  <c r="AN274" l="1"/>
  <c r="O269"/>
  <c r="C276"/>
  <c r="C279" l="1"/>
  <c r="O276"/>
  <c r="D99"/>
  <c r="E74" l="1"/>
  <c r="D73"/>
  <c r="F74" l="1"/>
  <c r="G74" l="1"/>
  <c r="D32" l="1"/>
  <c r="E32" s="1"/>
  <c r="F32" s="1"/>
  <c r="G32" s="1"/>
  <c r="H32" s="1"/>
  <c r="I32" s="1"/>
  <c r="J32" s="1"/>
  <c r="K32" s="1"/>
  <c r="L32" s="1"/>
  <c r="M32" s="1"/>
  <c r="C15" l="1"/>
  <c r="D179" s="1"/>
  <c r="D181" l="1"/>
  <c r="D183" s="1"/>
  <c r="D150" l="1"/>
  <c r="E179" l="1"/>
  <c r="E181" l="1"/>
  <c r="E183" l="1"/>
  <c r="F179" s="1"/>
  <c r="F181" l="1"/>
  <c r="F183" s="1"/>
  <c r="G179" s="1"/>
  <c r="C9"/>
  <c r="L8"/>
  <c r="M8" s="1"/>
  <c r="G181" l="1"/>
  <c r="G183" s="1"/>
  <c r="H179" s="1"/>
  <c r="C7"/>
  <c r="C2"/>
  <c r="H181" l="1"/>
  <c r="H183" s="1"/>
  <c r="I179" s="1"/>
  <c r="I181" l="1"/>
  <c r="I183" s="1"/>
  <c r="J179" s="1"/>
  <c r="J181" l="1"/>
  <c r="J183" s="1"/>
  <c r="K179" s="1"/>
  <c r="K181" l="1"/>
  <c r="K183" s="1"/>
  <c r="L179" s="1"/>
  <c r="L181" s="1"/>
  <c r="L183" l="1"/>
  <c r="M179" s="1"/>
  <c r="M181" s="1"/>
  <c r="M183" l="1"/>
  <c r="C105" i="1" l="1"/>
  <c r="D105"/>
  <c r="E105"/>
  <c r="F105"/>
  <c r="G105"/>
  <c r="H105"/>
  <c r="I105"/>
  <c r="J105"/>
  <c r="K105"/>
  <c r="L105"/>
  <c r="B105"/>
  <c r="D110"/>
  <c r="E110"/>
  <c r="F110"/>
  <c r="G110"/>
  <c r="H110"/>
  <c r="I110"/>
  <c r="J110"/>
  <c r="K110"/>
  <c r="L110"/>
  <c r="C110"/>
  <c r="S18" i="10" l="1"/>
  <c r="Y18"/>
  <c r="D69" i="9" l="1"/>
  <c r="D75" s="1"/>
  <c r="C75"/>
  <c r="D73" l="1"/>
  <c r="B127" i="1" l="1"/>
  <c r="C127"/>
  <c r="D127"/>
  <c r="E127"/>
  <c r="F127"/>
  <c r="G127"/>
  <c r="H127"/>
  <c r="I127"/>
  <c r="J127"/>
  <c r="K127"/>
  <c r="L127"/>
  <c r="M127" l="1"/>
  <c r="B129"/>
  <c r="C128"/>
  <c r="D128"/>
  <c r="E128"/>
  <c r="F128"/>
  <c r="G128"/>
  <c r="H128"/>
  <c r="I128"/>
  <c r="J128"/>
  <c r="K128"/>
  <c r="L128"/>
  <c r="B128"/>
  <c r="E83" i="9"/>
  <c r="F83" s="1"/>
  <c r="H83" s="1"/>
  <c r="E84"/>
  <c r="E85"/>
  <c r="E86"/>
  <c r="E87"/>
  <c r="E88"/>
  <c r="E89"/>
  <c r="E90"/>
  <c r="E91"/>
  <c r="E92"/>
  <c r="C224" i="16" l="1"/>
  <c r="C11"/>
  <c r="M128" i="1"/>
  <c r="F90" i="9"/>
  <c r="H90" s="1"/>
  <c r="F88"/>
  <c r="H88" s="1"/>
  <c r="F86"/>
  <c r="H86" s="1"/>
  <c r="F84"/>
  <c r="H84" s="1"/>
  <c r="F92"/>
  <c r="H92" s="1"/>
  <c r="F91"/>
  <c r="H91" s="1"/>
  <c r="F89"/>
  <c r="H89" s="1"/>
  <c r="F87"/>
  <c r="H87" s="1"/>
  <c r="F85"/>
  <c r="H85" s="1"/>
  <c r="O224" i="16" l="1"/>
  <c r="E37"/>
  <c r="H93" i="9"/>
  <c r="D25" i="16" s="1"/>
  <c r="L69" i="9"/>
  <c r="L78" s="1"/>
  <c r="C77"/>
  <c r="D78"/>
  <c r="E69"/>
  <c r="E77" s="1"/>
  <c r="F69"/>
  <c r="F78" s="1"/>
  <c r="G69"/>
  <c r="G77" s="1"/>
  <c r="H69"/>
  <c r="H78" s="1"/>
  <c r="I69"/>
  <c r="I77" s="1"/>
  <c r="J69"/>
  <c r="J78" s="1"/>
  <c r="K69"/>
  <c r="K77" s="1"/>
  <c r="M68"/>
  <c r="M69" s="1"/>
  <c r="M77" s="1"/>
  <c r="C8"/>
  <c r="F8" s="1"/>
  <c r="G8" s="1"/>
  <c r="C6"/>
  <c r="F6" s="1"/>
  <c r="G6" s="1"/>
  <c r="C4"/>
  <c r="F4" s="1"/>
  <c r="G4" s="1"/>
  <c r="C5"/>
  <c r="F5" s="1"/>
  <c r="G5" s="1"/>
  <c r="C7"/>
  <c r="F7" s="1"/>
  <c r="G7" s="1"/>
  <c r="C9"/>
  <c r="F9" s="1"/>
  <c r="G9" s="1"/>
  <c r="C10"/>
  <c r="F10" s="1"/>
  <c r="G10" s="1"/>
  <c r="C11"/>
  <c r="F11" s="1"/>
  <c r="G11" s="1"/>
  <c r="C12"/>
  <c r="F12" s="1"/>
  <c r="G12" s="1"/>
  <c r="C3"/>
  <c r="F3" s="1"/>
  <c r="G3" s="1"/>
  <c r="C26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51"/>
  <c r="E51" s="1"/>
  <c r="E61" s="1"/>
  <c r="D26" i="16" s="1"/>
  <c r="M32" i="9"/>
  <c r="M33"/>
  <c r="M34"/>
  <c r="M35"/>
  <c r="M36"/>
  <c r="M37"/>
  <c r="M38"/>
  <c r="M39"/>
  <c r="M40"/>
  <c r="M41"/>
  <c r="M31"/>
  <c r="D54" i="16" l="1"/>
  <c r="D103" s="1"/>
  <c r="D224" s="1"/>
  <c r="E25"/>
  <c r="D52"/>
  <c r="E26"/>
  <c r="F26" s="1"/>
  <c r="G26" s="1"/>
  <c r="H26" s="1"/>
  <c r="I26" s="1"/>
  <c r="J26" s="1"/>
  <c r="K26" s="1"/>
  <c r="L26" s="1"/>
  <c r="M26" s="1"/>
  <c r="F37"/>
  <c r="N41" i="9"/>
  <c r="P41" s="1"/>
  <c r="N39"/>
  <c r="P39" s="1"/>
  <c r="N37"/>
  <c r="P37" s="1"/>
  <c r="N35"/>
  <c r="P35" s="1"/>
  <c r="M71"/>
  <c r="K73"/>
  <c r="G73"/>
  <c r="I74"/>
  <c r="E74"/>
  <c r="M76"/>
  <c r="M73"/>
  <c r="I73"/>
  <c r="E73"/>
  <c r="K74"/>
  <c r="G74"/>
  <c r="C74"/>
  <c r="K71"/>
  <c r="I71"/>
  <c r="G71"/>
  <c r="E71"/>
  <c r="M72"/>
  <c r="K72"/>
  <c r="I72"/>
  <c r="G72"/>
  <c r="E72"/>
  <c r="L73"/>
  <c r="J73"/>
  <c r="H73"/>
  <c r="F73"/>
  <c r="M74"/>
  <c r="J74"/>
  <c r="H74"/>
  <c r="F74"/>
  <c r="D74"/>
  <c r="L74"/>
  <c r="K75"/>
  <c r="I75"/>
  <c r="G75"/>
  <c r="E75"/>
  <c r="L76"/>
  <c r="J76"/>
  <c r="H76"/>
  <c r="F76"/>
  <c r="D76"/>
  <c r="M75"/>
  <c r="L77"/>
  <c r="J77"/>
  <c r="H77"/>
  <c r="F77"/>
  <c r="D77"/>
  <c r="M78"/>
  <c r="K78"/>
  <c r="I78"/>
  <c r="G78"/>
  <c r="E78"/>
  <c r="C78"/>
  <c r="J71"/>
  <c r="H71"/>
  <c r="F71"/>
  <c r="D71"/>
  <c r="L71"/>
  <c r="L72"/>
  <c r="J72"/>
  <c r="H72"/>
  <c r="F72"/>
  <c r="D72"/>
  <c r="L75"/>
  <c r="J75"/>
  <c r="H75"/>
  <c r="F75"/>
  <c r="K76"/>
  <c r="I76"/>
  <c r="G76"/>
  <c r="E76"/>
  <c r="C76"/>
  <c r="N40"/>
  <c r="P40" s="1"/>
  <c r="N38"/>
  <c r="P38" s="1"/>
  <c r="N36"/>
  <c r="P36" s="1"/>
  <c r="N34"/>
  <c r="P34" s="1"/>
  <c r="N33"/>
  <c r="P33" s="1"/>
  <c r="F50"/>
  <c r="N32"/>
  <c r="P32" s="1"/>
  <c r="G13"/>
  <c r="M5" l="1"/>
  <c r="M6" s="1"/>
  <c r="M7" s="1"/>
  <c r="M8" s="1"/>
  <c r="M9" s="1"/>
  <c r="M10" s="1"/>
  <c r="M11" s="1"/>
  <c r="M12" s="1"/>
  <c r="M13" s="1"/>
  <c r="M14" s="1"/>
  <c r="D23" i="16"/>
  <c r="D105"/>
  <c r="E52"/>
  <c r="AB224"/>
  <c r="E54"/>
  <c r="E103" s="1"/>
  <c r="E224" s="1"/>
  <c r="F25"/>
  <c r="C70" i="9"/>
  <c r="G37" i="16"/>
  <c r="P42" i="9"/>
  <c r="D27" i="16" s="1"/>
  <c r="D70" i="9"/>
  <c r="H70"/>
  <c r="E70"/>
  <c r="I70"/>
  <c r="M70"/>
  <c r="C12" i="16" s="1"/>
  <c r="L70" i="9"/>
  <c r="F70"/>
  <c r="J70"/>
  <c r="G70"/>
  <c r="K70"/>
  <c r="I51"/>
  <c r="I53"/>
  <c r="I55"/>
  <c r="I57"/>
  <c r="I59"/>
  <c r="I50"/>
  <c r="I52"/>
  <c r="I54"/>
  <c r="I56"/>
  <c r="I58"/>
  <c r="G25" i="16" l="1"/>
  <c r="F54"/>
  <c r="F103" s="1"/>
  <c r="F224" s="1"/>
  <c r="AN224"/>
  <c r="D55"/>
  <c r="D107" s="1"/>
  <c r="E27"/>
  <c r="AD224"/>
  <c r="AP224" s="1"/>
  <c r="F52"/>
  <c r="E105"/>
  <c r="D51"/>
  <c r="E23"/>
  <c r="AC224"/>
  <c r="AO224" s="1"/>
  <c r="H37"/>
  <c r="J50" i="9"/>
  <c r="J51" s="1"/>
  <c r="J52" s="1"/>
  <c r="J53" s="1"/>
  <c r="J54" s="1"/>
  <c r="J55" s="1"/>
  <c r="J56" s="1"/>
  <c r="J57" s="1"/>
  <c r="J58" s="1"/>
  <c r="J59" s="1"/>
  <c r="F105" i="16" l="1"/>
  <c r="G52"/>
  <c r="D134"/>
  <c r="D225"/>
  <c r="G54"/>
  <c r="G103" s="1"/>
  <c r="G224" s="1"/>
  <c r="H25"/>
  <c r="E51"/>
  <c r="F23"/>
  <c r="E55"/>
  <c r="E107" s="1"/>
  <c r="F27"/>
  <c r="I37"/>
  <c r="D122" i="1"/>
  <c r="D123" s="1"/>
  <c r="E122"/>
  <c r="E123" s="1"/>
  <c r="F122"/>
  <c r="F123" s="1"/>
  <c r="G122"/>
  <c r="G123" s="1"/>
  <c r="H122"/>
  <c r="H123" s="1"/>
  <c r="I122"/>
  <c r="I123" s="1"/>
  <c r="J122"/>
  <c r="J123" s="1"/>
  <c r="K122"/>
  <c r="K123" s="1"/>
  <c r="L122"/>
  <c r="L123" s="1"/>
  <c r="L152"/>
  <c r="E134" i="16" l="1"/>
  <c r="E225"/>
  <c r="AE224"/>
  <c r="F55"/>
  <c r="F107" s="1"/>
  <c r="G27"/>
  <c r="G23"/>
  <c r="F51"/>
  <c r="I25"/>
  <c r="H54"/>
  <c r="H103" s="1"/>
  <c r="H224" s="1"/>
  <c r="D223"/>
  <c r="AB225"/>
  <c r="AC225"/>
  <c r="AO225" s="1"/>
  <c r="G105"/>
  <c r="H52"/>
  <c r="J37"/>
  <c r="M123" i="1"/>
  <c r="D40" i="16" s="1"/>
  <c r="E40" s="1"/>
  <c r="F40" s="1"/>
  <c r="G40" s="1"/>
  <c r="H40" s="1"/>
  <c r="I40" s="1"/>
  <c r="J40" s="1"/>
  <c r="K40" s="1"/>
  <c r="L40" s="1"/>
  <c r="M40" s="1"/>
  <c r="B126" i="1"/>
  <c r="C129"/>
  <c r="D129"/>
  <c r="E129"/>
  <c r="F129"/>
  <c r="G129"/>
  <c r="H129"/>
  <c r="I129"/>
  <c r="J129"/>
  <c r="K129"/>
  <c r="L129"/>
  <c r="D13" i="9"/>
  <c r="D92" i="10"/>
  <c r="U4" s="1"/>
  <c r="T19" s="1"/>
  <c r="D38"/>
  <c r="U3" s="1"/>
  <c r="T18" s="1"/>
  <c r="L590"/>
  <c r="T13" s="1"/>
  <c r="X28" s="1"/>
  <c r="Y28" s="1"/>
  <c r="O589"/>
  <c r="S13" s="1"/>
  <c r="S28" s="1"/>
  <c r="W28" s="1"/>
  <c r="O536"/>
  <c r="S12" s="1"/>
  <c r="S27" s="1"/>
  <c r="W27" s="1"/>
  <c r="O482"/>
  <c r="S11" s="1"/>
  <c r="S26" s="1"/>
  <c r="W26" s="1"/>
  <c r="O429"/>
  <c r="S10" s="1"/>
  <c r="S25" s="1"/>
  <c r="W25" s="1"/>
  <c r="O376"/>
  <c r="S9" s="1"/>
  <c r="S24" s="1"/>
  <c r="W24" s="1"/>
  <c r="O323"/>
  <c r="S8" s="1"/>
  <c r="S23" s="1"/>
  <c r="W23" s="1"/>
  <c r="O270"/>
  <c r="S7" s="1"/>
  <c r="S22" s="1"/>
  <c r="W22" s="1"/>
  <c r="O216"/>
  <c r="S6" s="1"/>
  <c r="S21" s="1"/>
  <c r="W21" s="1"/>
  <c r="O163"/>
  <c r="S5" s="1"/>
  <c r="S20" s="1"/>
  <c r="W20" s="1"/>
  <c r="O110"/>
  <c r="S4" s="1"/>
  <c r="S19" s="1"/>
  <c r="W19" s="1"/>
  <c r="O57"/>
  <c r="S3" s="1"/>
  <c r="W18" s="1"/>
  <c r="L537"/>
  <c r="T12" s="1"/>
  <c r="X27" s="1"/>
  <c r="L484"/>
  <c r="T11" s="1"/>
  <c r="X26" s="1"/>
  <c r="L431"/>
  <c r="T10" s="1"/>
  <c r="X25" s="1"/>
  <c r="L377"/>
  <c r="T9" s="1"/>
  <c r="X24" s="1"/>
  <c r="L324"/>
  <c r="T8" s="1"/>
  <c r="X23" s="1"/>
  <c r="Y23" s="1"/>
  <c r="L271"/>
  <c r="T7" s="1"/>
  <c r="X22" s="1"/>
  <c r="L218"/>
  <c r="T6" s="1"/>
  <c r="X21" s="1"/>
  <c r="Y21" s="1"/>
  <c r="L165"/>
  <c r="T5" s="1"/>
  <c r="X20" s="1"/>
  <c r="L112"/>
  <c r="T4" s="1"/>
  <c r="X19" s="1"/>
  <c r="Y19" s="1"/>
  <c r="L59"/>
  <c r="T3" s="1"/>
  <c r="X18" s="1"/>
  <c r="D243"/>
  <c r="U9" s="1"/>
  <c r="T24" s="1"/>
  <c r="D351"/>
  <c r="U13" s="1"/>
  <c r="T28" s="1"/>
  <c r="D324"/>
  <c r="U12" s="1"/>
  <c r="T27" s="1"/>
  <c r="D311"/>
  <c r="U11" s="1"/>
  <c r="T26" s="1"/>
  <c r="D278"/>
  <c r="U10" s="1"/>
  <c r="T25" s="1"/>
  <c r="D192"/>
  <c r="U8" s="1"/>
  <c r="T23" s="1"/>
  <c r="D161"/>
  <c r="U7" s="1"/>
  <c r="T22" s="1"/>
  <c r="D133"/>
  <c r="U6" s="1"/>
  <c r="T21" s="1"/>
  <c r="D107"/>
  <c r="U5" s="1"/>
  <c r="T20" s="1"/>
  <c r="I52" i="16" l="1"/>
  <c r="H105"/>
  <c r="AB223"/>
  <c r="H27"/>
  <c r="G55"/>
  <c r="G107" s="1"/>
  <c r="AQ224"/>
  <c r="AF224"/>
  <c r="AR224" s="1"/>
  <c r="AN225"/>
  <c r="I54"/>
  <c r="I103" s="1"/>
  <c r="I224" s="1"/>
  <c r="J25"/>
  <c r="G51"/>
  <c r="H23"/>
  <c r="F134"/>
  <c r="F225"/>
  <c r="E223"/>
  <c r="K37"/>
  <c r="Y25" i="10"/>
  <c r="Y27"/>
  <c r="Y20"/>
  <c r="Y22"/>
  <c r="Y24"/>
  <c r="Y26"/>
  <c r="W29"/>
  <c r="D30" i="16" s="1"/>
  <c r="Y29" i="10"/>
  <c r="U18"/>
  <c r="U27"/>
  <c r="U25"/>
  <c r="U23"/>
  <c r="U21"/>
  <c r="U19"/>
  <c r="U28"/>
  <c r="U26"/>
  <c r="U24"/>
  <c r="U22"/>
  <c r="U20"/>
  <c r="M129" i="1"/>
  <c r="D41" i="16" s="1"/>
  <c r="D67" l="1"/>
  <c r="E30"/>
  <c r="AD225"/>
  <c r="F223"/>
  <c r="I23"/>
  <c r="H51"/>
  <c r="K25"/>
  <c r="J54"/>
  <c r="J103" s="1"/>
  <c r="J224" s="1"/>
  <c r="I27"/>
  <c r="H55"/>
  <c r="H107" s="1"/>
  <c r="AD223"/>
  <c r="AP223" s="1"/>
  <c r="AH224"/>
  <c r="AT224" s="1"/>
  <c r="G134"/>
  <c r="G225"/>
  <c r="AN223"/>
  <c r="J52"/>
  <c r="I105"/>
  <c r="AG224"/>
  <c r="AS224" s="1"/>
  <c r="AC223"/>
  <c r="AO223" s="1"/>
  <c r="E41"/>
  <c r="L37"/>
  <c r="U29" i="10"/>
  <c r="D31" i="16" s="1"/>
  <c r="E31" s="1"/>
  <c r="F31" s="1"/>
  <c r="G31" s="1"/>
  <c r="H31" s="1"/>
  <c r="I31" s="1"/>
  <c r="J31" s="1"/>
  <c r="K31" s="1"/>
  <c r="L31" s="1"/>
  <c r="M31" s="1"/>
  <c r="D42" i="9"/>
  <c r="E42"/>
  <c r="B42"/>
  <c r="C34"/>
  <c r="F34" s="1"/>
  <c r="G34" s="1"/>
  <c r="C35"/>
  <c r="F35" s="1"/>
  <c r="G35" s="1"/>
  <c r="C36"/>
  <c r="F36" s="1"/>
  <c r="G36" s="1"/>
  <c r="C37"/>
  <c r="F37" s="1"/>
  <c r="G37" s="1"/>
  <c r="C38"/>
  <c r="F38" s="1"/>
  <c r="G38" s="1"/>
  <c r="C39"/>
  <c r="F39" s="1"/>
  <c r="G39" s="1"/>
  <c r="C40"/>
  <c r="F40" s="1"/>
  <c r="G40" s="1"/>
  <c r="C41"/>
  <c r="F41" s="1"/>
  <c r="G41" s="1"/>
  <c r="C33"/>
  <c r="F33" s="1"/>
  <c r="L14"/>
  <c r="L13"/>
  <c r="L12"/>
  <c r="L11"/>
  <c r="L10"/>
  <c r="L9"/>
  <c r="L8"/>
  <c r="L7"/>
  <c r="L6"/>
  <c r="K6"/>
  <c r="K7"/>
  <c r="K8"/>
  <c r="K9"/>
  <c r="K10"/>
  <c r="K11"/>
  <c r="K12"/>
  <c r="K13"/>
  <c r="K14"/>
  <c r="K5"/>
  <c r="N5" s="1"/>
  <c r="L5"/>
  <c r="E67" i="16" l="1"/>
  <c r="F30"/>
  <c r="D69"/>
  <c r="D68"/>
  <c r="J105"/>
  <c r="K52"/>
  <c r="J27"/>
  <c r="I55"/>
  <c r="I107" s="1"/>
  <c r="L25"/>
  <c r="K54"/>
  <c r="K103" s="1"/>
  <c r="K224" s="1"/>
  <c r="I51"/>
  <c r="J23"/>
  <c r="AP225"/>
  <c r="G223"/>
  <c r="H134"/>
  <c r="H225"/>
  <c r="AE225"/>
  <c r="AQ225" s="1"/>
  <c r="M37"/>
  <c r="F41"/>
  <c r="G33" i="9"/>
  <c r="G42" s="1"/>
  <c r="D24" i="16" s="1"/>
  <c r="F42" i="9"/>
  <c r="C16"/>
  <c r="C17"/>
  <c r="C18"/>
  <c r="C19"/>
  <c r="C20"/>
  <c r="C21"/>
  <c r="C22"/>
  <c r="C23"/>
  <c r="C24"/>
  <c r="C25"/>
  <c r="E13"/>
  <c r="D168" i="16" l="1"/>
  <c r="D169" s="1"/>
  <c r="D228"/>
  <c r="AB228" s="1"/>
  <c r="AN228" s="1"/>
  <c r="D217"/>
  <c r="D213" s="1"/>
  <c r="D154" s="1"/>
  <c r="D192"/>
  <c r="D188" s="1"/>
  <c r="D190" s="1"/>
  <c r="D184"/>
  <c r="D180" s="1"/>
  <c r="G30"/>
  <c r="F67"/>
  <c r="E69"/>
  <c r="E68"/>
  <c r="AI224"/>
  <c r="AU224" s="1"/>
  <c r="K23"/>
  <c r="J51"/>
  <c r="I134"/>
  <c r="I225"/>
  <c r="K105"/>
  <c r="L52"/>
  <c r="D53"/>
  <c r="E24"/>
  <c r="AF225"/>
  <c r="H223"/>
  <c r="AG225"/>
  <c r="AS225" s="1"/>
  <c r="M25"/>
  <c r="M54" s="1"/>
  <c r="L54"/>
  <c r="L103" s="1"/>
  <c r="L224" s="1"/>
  <c r="J55"/>
  <c r="J107" s="1"/>
  <c r="J225" s="1"/>
  <c r="K27"/>
  <c r="AE223"/>
  <c r="G41"/>
  <c r="D17" i="9"/>
  <c r="F17" s="1"/>
  <c r="D23"/>
  <c r="F23" s="1"/>
  <c r="D21"/>
  <c r="F21" s="1"/>
  <c r="D19"/>
  <c r="F19" s="1"/>
  <c r="D25"/>
  <c r="F25" s="1"/>
  <c r="D26"/>
  <c r="F26" s="1"/>
  <c r="H16" s="1"/>
  <c r="D24"/>
  <c r="F24" s="1"/>
  <c r="D22"/>
  <c r="F22" s="1"/>
  <c r="D20"/>
  <c r="F20" s="1"/>
  <c r="D18"/>
  <c r="F18" s="1"/>
  <c r="F13"/>
  <c r="E217" i="16" l="1"/>
  <c r="E192"/>
  <c r="E184"/>
  <c r="E180" s="1"/>
  <c r="E182" s="1"/>
  <c r="F68"/>
  <c r="F69"/>
  <c r="G67"/>
  <c r="H30"/>
  <c r="D229"/>
  <c r="AB229" s="1"/>
  <c r="AN229" s="1"/>
  <c r="D182"/>
  <c r="D151"/>
  <c r="D152" s="1"/>
  <c r="D155" s="1"/>
  <c r="M103"/>
  <c r="M224" s="1"/>
  <c r="AK224" s="1"/>
  <c r="AJ224"/>
  <c r="AV224" s="1"/>
  <c r="J134"/>
  <c r="AR225"/>
  <c r="L23"/>
  <c r="K51"/>
  <c r="F27" i="9"/>
  <c r="AQ223" i="16"/>
  <c r="L27"/>
  <c r="K55"/>
  <c r="K107" s="1"/>
  <c r="K225" s="1"/>
  <c r="E53"/>
  <c r="F24"/>
  <c r="L105"/>
  <c r="M52"/>
  <c r="M105" s="1"/>
  <c r="I223"/>
  <c r="AH225"/>
  <c r="AT225" s="1"/>
  <c r="AF223"/>
  <c r="AR223" s="1"/>
  <c r="H41"/>
  <c r="N11" i="9"/>
  <c r="N7"/>
  <c r="N10"/>
  <c r="N6"/>
  <c r="O5"/>
  <c r="D62" i="16" s="1"/>
  <c r="N9" i="9"/>
  <c r="N13"/>
  <c r="N8"/>
  <c r="N12"/>
  <c r="N14"/>
  <c r="H67" i="16" l="1"/>
  <c r="I30"/>
  <c r="G68"/>
  <c r="G69"/>
  <c r="F184"/>
  <c r="F180" s="1"/>
  <c r="F182" s="1"/>
  <c r="F217"/>
  <c r="F192"/>
  <c r="AG223"/>
  <c r="AS223" s="1"/>
  <c r="M27"/>
  <c r="M55" s="1"/>
  <c r="L55"/>
  <c r="L107" s="1"/>
  <c r="L225" s="1"/>
  <c r="M23"/>
  <c r="M51" s="1"/>
  <c r="L51"/>
  <c r="AW224"/>
  <c r="AX224" s="1"/>
  <c r="AL224"/>
  <c r="D110"/>
  <c r="D220" s="1"/>
  <c r="D102"/>
  <c r="D70"/>
  <c r="D175" s="1"/>
  <c r="F53"/>
  <c r="G24"/>
  <c r="K134"/>
  <c r="J223"/>
  <c r="I41"/>
  <c r="O6" i="9"/>
  <c r="E62" i="16" s="1"/>
  <c r="H17" i="9"/>
  <c r="G217" i="16" l="1"/>
  <c r="G192"/>
  <c r="G184"/>
  <c r="G180" s="1"/>
  <c r="G182" s="1"/>
  <c r="I67"/>
  <c r="J30"/>
  <c r="H69"/>
  <c r="H68"/>
  <c r="E110"/>
  <c r="E220" s="1"/>
  <c r="E102"/>
  <c r="E70"/>
  <c r="E175" s="1"/>
  <c r="K223"/>
  <c r="H24"/>
  <c r="G53"/>
  <c r="AC220"/>
  <c r="AO220" s="1"/>
  <c r="AB220"/>
  <c r="D289"/>
  <c r="D293"/>
  <c r="P220"/>
  <c r="D292"/>
  <c r="P228"/>
  <c r="P229"/>
  <c r="P224"/>
  <c r="P225"/>
  <c r="P223"/>
  <c r="D221"/>
  <c r="D101"/>
  <c r="L134"/>
  <c r="M107"/>
  <c r="M225" s="1"/>
  <c r="AI225"/>
  <c r="AH223"/>
  <c r="J41"/>
  <c r="O7" i="9"/>
  <c r="F62" i="16" s="1"/>
  <c r="H217" l="1"/>
  <c r="H192"/>
  <c r="H184"/>
  <c r="H180" s="1"/>
  <c r="H182" s="1"/>
  <c r="J67"/>
  <c r="K30"/>
  <c r="I69"/>
  <c r="I68"/>
  <c r="M134"/>
  <c r="L223"/>
  <c r="P221"/>
  <c r="AB221"/>
  <c r="I24"/>
  <c r="H53"/>
  <c r="Q220"/>
  <c r="E289"/>
  <c r="Q224"/>
  <c r="Q225"/>
  <c r="Q223"/>
  <c r="D222"/>
  <c r="AI223"/>
  <c r="AU223" s="1"/>
  <c r="AT223"/>
  <c r="F110"/>
  <c r="F220" s="1"/>
  <c r="F102"/>
  <c r="F70"/>
  <c r="F175" s="1"/>
  <c r="AU225"/>
  <c r="D100"/>
  <c r="D113" s="1"/>
  <c r="E99"/>
  <c r="D248"/>
  <c r="AB248" s="1"/>
  <c r="AN220"/>
  <c r="E221"/>
  <c r="E101"/>
  <c r="AJ225"/>
  <c r="AV225" s="1"/>
  <c r="K41"/>
  <c r="O8" i="9"/>
  <c r="G62" i="16" s="1"/>
  <c r="I217" l="1"/>
  <c r="I192"/>
  <c r="I184"/>
  <c r="I180" s="1"/>
  <c r="I182" s="1"/>
  <c r="K67"/>
  <c r="L30"/>
  <c r="J69"/>
  <c r="J68"/>
  <c r="E100"/>
  <c r="E113" s="1"/>
  <c r="G110"/>
  <c r="G220" s="1"/>
  <c r="G102"/>
  <c r="G70"/>
  <c r="G175" s="1"/>
  <c r="Q221"/>
  <c r="AE220"/>
  <c r="AQ220" s="1"/>
  <c r="F289"/>
  <c r="R220"/>
  <c r="R224"/>
  <c r="R225"/>
  <c r="R223"/>
  <c r="J24"/>
  <c r="I53"/>
  <c r="AN221"/>
  <c r="M223"/>
  <c r="F99"/>
  <c r="E248"/>
  <c r="AC248" s="1"/>
  <c r="AO248" s="1"/>
  <c r="AN248"/>
  <c r="F221"/>
  <c r="F101"/>
  <c r="AB222"/>
  <c r="D299"/>
  <c r="P222"/>
  <c r="AJ223"/>
  <c r="AK223"/>
  <c r="AW223" s="1"/>
  <c r="AD220"/>
  <c r="E222"/>
  <c r="AC222" s="1"/>
  <c r="AO222" s="1"/>
  <c r="D290"/>
  <c r="AC221"/>
  <c r="AO221" s="1"/>
  <c r="AK225"/>
  <c r="L41"/>
  <c r="O9" i="9"/>
  <c r="H62" i="16" s="1"/>
  <c r="J217" l="1"/>
  <c r="J192"/>
  <c r="J184"/>
  <c r="J180" s="1"/>
  <c r="J182" s="1"/>
  <c r="M30"/>
  <c r="M67" s="1"/>
  <c r="L67"/>
  <c r="K68"/>
  <c r="K69"/>
  <c r="H110"/>
  <c r="H220" s="1"/>
  <c r="H102"/>
  <c r="H70"/>
  <c r="H175" s="1"/>
  <c r="E299"/>
  <c r="Q222"/>
  <c r="AP220"/>
  <c r="AV223"/>
  <c r="AL223"/>
  <c r="AN222"/>
  <c r="R221"/>
  <c r="K24"/>
  <c r="J53"/>
  <c r="G221"/>
  <c r="G101"/>
  <c r="AX223"/>
  <c r="F100"/>
  <c r="F113" s="1"/>
  <c r="F222"/>
  <c r="AD222" s="1"/>
  <c r="E290"/>
  <c r="AD221"/>
  <c r="AP221" s="1"/>
  <c r="AW225"/>
  <c r="AX225" s="1"/>
  <c r="AL225"/>
  <c r="G99"/>
  <c r="G100" s="1"/>
  <c r="G113" s="1"/>
  <c r="F248"/>
  <c r="AF220"/>
  <c r="AR220" s="1"/>
  <c r="G289"/>
  <c r="S220"/>
  <c r="G222"/>
  <c r="S224"/>
  <c r="S225"/>
  <c r="S223"/>
  <c r="M41"/>
  <c r="O10" i="9"/>
  <c r="I62" i="16" s="1"/>
  <c r="K217" l="1"/>
  <c r="K192"/>
  <c r="K184"/>
  <c r="K180" s="1"/>
  <c r="K182" s="1"/>
  <c r="L69"/>
  <c r="L68"/>
  <c r="M68"/>
  <c r="M69"/>
  <c r="AP222"/>
  <c r="S221"/>
  <c r="K53"/>
  <c r="L24"/>
  <c r="H221"/>
  <c r="H101"/>
  <c r="AE221"/>
  <c r="AQ221" s="1"/>
  <c r="I110"/>
  <c r="I220" s="1"/>
  <c r="I102"/>
  <c r="I70"/>
  <c r="I175" s="1"/>
  <c r="G299"/>
  <c r="S222"/>
  <c r="AD248"/>
  <c r="AE222"/>
  <c r="AQ222" s="1"/>
  <c r="F299"/>
  <c r="R222"/>
  <c r="G248"/>
  <c r="H99"/>
  <c r="H100" s="1"/>
  <c r="H113" s="1"/>
  <c r="H289"/>
  <c r="T220"/>
  <c r="AG220"/>
  <c r="AS220" s="1"/>
  <c r="H222"/>
  <c r="AF222" s="1"/>
  <c r="AR222" s="1"/>
  <c r="T224"/>
  <c r="T225"/>
  <c r="T223"/>
  <c r="F290"/>
  <c r="O11" i="9"/>
  <c r="J62" i="16" s="1"/>
  <c r="M217" l="1"/>
  <c r="M192"/>
  <c r="M184"/>
  <c r="M180" s="1"/>
  <c r="M182" s="1"/>
  <c r="L217"/>
  <c r="L192"/>
  <c r="L184"/>
  <c r="L180" s="1"/>
  <c r="L182" s="1"/>
  <c r="I221"/>
  <c r="I101"/>
  <c r="AG221"/>
  <c r="AS221" s="1"/>
  <c r="T221"/>
  <c r="AE248"/>
  <c r="AQ248" s="1"/>
  <c r="J110"/>
  <c r="J220" s="1"/>
  <c r="J102"/>
  <c r="J70"/>
  <c r="J175" s="1"/>
  <c r="H299"/>
  <c r="T222"/>
  <c r="AP248"/>
  <c r="AH220"/>
  <c r="AT220" s="1"/>
  <c r="I289"/>
  <c r="U220"/>
  <c r="I222"/>
  <c r="AG222" s="1"/>
  <c r="AS222" s="1"/>
  <c r="U224"/>
  <c r="U225"/>
  <c r="U223"/>
  <c r="I99"/>
  <c r="H248"/>
  <c r="H290" s="1"/>
  <c r="M24"/>
  <c r="M53" s="1"/>
  <c r="L53"/>
  <c r="G290"/>
  <c r="AF221"/>
  <c r="O12" i="9"/>
  <c r="K62" i="16" s="1"/>
  <c r="J289" l="1"/>
  <c r="V220"/>
  <c r="V224"/>
  <c r="V225"/>
  <c r="V223"/>
  <c r="I248"/>
  <c r="I290" s="1"/>
  <c r="J99"/>
  <c r="K110"/>
  <c r="K220" s="1"/>
  <c r="K102"/>
  <c r="K70"/>
  <c r="K175" s="1"/>
  <c r="AR221"/>
  <c r="I299"/>
  <c r="U222"/>
  <c r="J221"/>
  <c r="J101"/>
  <c r="J100"/>
  <c r="J113" s="1"/>
  <c r="U221"/>
  <c r="AH221"/>
  <c r="AT221" s="1"/>
  <c r="AF248"/>
  <c r="AR248" s="1"/>
  <c r="I100"/>
  <c r="I113" s="1"/>
  <c r="O13" i="9"/>
  <c r="L62" i="16" s="1"/>
  <c r="L110" l="1"/>
  <c r="L220" s="1"/>
  <c r="L102"/>
  <c r="L70"/>
  <c r="L175" s="1"/>
  <c r="J248"/>
  <c r="J290" s="1"/>
  <c r="K99"/>
  <c r="K221"/>
  <c r="K101"/>
  <c r="K100"/>
  <c r="K113" s="1"/>
  <c r="AI221"/>
  <c r="AU221" s="1"/>
  <c r="V221"/>
  <c r="K289"/>
  <c r="W220"/>
  <c r="AJ220"/>
  <c r="AV220" s="1"/>
  <c r="K222"/>
  <c r="W224"/>
  <c r="W225"/>
  <c r="W223"/>
  <c r="AG248"/>
  <c r="J222"/>
  <c r="AI220"/>
  <c r="AU220" s="1"/>
  <c r="O14" i="9"/>
  <c r="M62" i="16" s="1"/>
  <c r="AH248" l="1"/>
  <c r="AT248" s="1"/>
  <c r="AS248"/>
  <c r="K299"/>
  <c r="W222"/>
  <c r="K248"/>
  <c r="K290" s="1"/>
  <c r="L99"/>
  <c r="L289"/>
  <c r="X220"/>
  <c r="X224"/>
  <c r="X225"/>
  <c r="X223"/>
  <c r="M110"/>
  <c r="M220" s="1"/>
  <c r="AK220" s="1"/>
  <c r="M102"/>
  <c r="M70"/>
  <c r="M175" s="1"/>
  <c r="AI222"/>
  <c r="AU222" s="1"/>
  <c r="J299"/>
  <c r="V222"/>
  <c r="AH222"/>
  <c r="W221"/>
  <c r="L221"/>
  <c r="AJ221" s="1"/>
  <c r="AV221" s="1"/>
  <c r="L101"/>
  <c r="AE68" i="1"/>
  <c r="AD68"/>
  <c r="AQ68" s="1"/>
  <c r="L248" i="16" l="1"/>
  <c r="M99"/>
  <c r="M221"/>
  <c r="M101"/>
  <c r="M248" s="1"/>
  <c r="AW220"/>
  <c r="AX220" s="1"/>
  <c r="AL220"/>
  <c r="AI248"/>
  <c r="AJ248"/>
  <c r="AV248" s="1"/>
  <c r="AK221"/>
  <c r="X221"/>
  <c r="L290"/>
  <c r="AT222"/>
  <c r="Y220"/>
  <c r="Z220" s="1"/>
  <c r="M289"/>
  <c r="N289" s="1"/>
  <c r="M222"/>
  <c r="Y224"/>
  <c r="Z224" s="1"/>
  <c r="Y225"/>
  <c r="Z225" s="1"/>
  <c r="Y223"/>
  <c r="Z223" s="1"/>
  <c r="L100"/>
  <c r="L113" s="1"/>
  <c r="L222"/>
  <c r="Q68" i="1"/>
  <c r="M153"/>
  <c r="C152"/>
  <c r="D152"/>
  <c r="E152"/>
  <c r="F152"/>
  <c r="G152"/>
  <c r="H152"/>
  <c r="I152"/>
  <c r="J152"/>
  <c r="K152"/>
  <c r="B152"/>
  <c r="M148"/>
  <c r="L299" i="16" l="1"/>
  <c r="X222"/>
  <c r="AK222"/>
  <c r="AW222" s="1"/>
  <c r="AJ222"/>
  <c r="AW221"/>
  <c r="AX221" s="1"/>
  <c r="AL221"/>
  <c r="AU248"/>
  <c r="Y221"/>
  <c r="Z221" s="1"/>
  <c r="M290"/>
  <c r="N290" s="1"/>
  <c r="AK248"/>
  <c r="AW248" s="1"/>
  <c r="AX248" s="1"/>
  <c r="Y222"/>
  <c r="Z222" s="1"/>
  <c r="M299"/>
  <c r="N299" s="1"/>
  <c r="M100"/>
  <c r="M113" s="1"/>
  <c r="J154" i="1"/>
  <c r="H154"/>
  <c r="F154"/>
  <c r="D154"/>
  <c r="K154"/>
  <c r="C5" i="16"/>
  <c r="C87" s="1"/>
  <c r="D75" s="1"/>
  <c r="I154" i="1"/>
  <c r="G154"/>
  <c r="E154"/>
  <c r="C154"/>
  <c r="M152"/>
  <c r="C147"/>
  <c r="D147"/>
  <c r="E147"/>
  <c r="F147"/>
  <c r="G147"/>
  <c r="H147"/>
  <c r="I147"/>
  <c r="J147"/>
  <c r="K147"/>
  <c r="L147"/>
  <c r="B147"/>
  <c r="B141"/>
  <c r="C141"/>
  <c r="D141"/>
  <c r="E141"/>
  <c r="F141"/>
  <c r="G141"/>
  <c r="H141"/>
  <c r="I141"/>
  <c r="J141"/>
  <c r="K141"/>
  <c r="L141"/>
  <c r="C140"/>
  <c r="D140"/>
  <c r="E140"/>
  <c r="F140"/>
  <c r="G140"/>
  <c r="H140"/>
  <c r="I140"/>
  <c r="J140"/>
  <c r="K140"/>
  <c r="L140"/>
  <c r="B140"/>
  <c r="C139"/>
  <c r="D139"/>
  <c r="E139"/>
  <c r="F139"/>
  <c r="G139"/>
  <c r="H139"/>
  <c r="I139"/>
  <c r="J139"/>
  <c r="K139"/>
  <c r="L139"/>
  <c r="B139"/>
  <c r="D142"/>
  <c r="J142"/>
  <c r="K142"/>
  <c r="L142"/>
  <c r="C142"/>
  <c r="C143"/>
  <c r="D143"/>
  <c r="E143"/>
  <c r="F143"/>
  <c r="G143"/>
  <c r="H143"/>
  <c r="I143"/>
  <c r="J143"/>
  <c r="K143"/>
  <c r="L143"/>
  <c r="B143"/>
  <c r="F142"/>
  <c r="G142"/>
  <c r="H142"/>
  <c r="I142"/>
  <c r="C138"/>
  <c r="D138"/>
  <c r="E138"/>
  <c r="F138"/>
  <c r="G138"/>
  <c r="H138"/>
  <c r="I138"/>
  <c r="J138"/>
  <c r="K138"/>
  <c r="L138"/>
  <c r="B138"/>
  <c r="C136"/>
  <c r="D136"/>
  <c r="E136"/>
  <c r="F136"/>
  <c r="G136"/>
  <c r="H136"/>
  <c r="I136"/>
  <c r="J136"/>
  <c r="K136"/>
  <c r="L136"/>
  <c r="B136"/>
  <c r="C135"/>
  <c r="D135"/>
  <c r="E135"/>
  <c r="F135"/>
  <c r="G135"/>
  <c r="H135"/>
  <c r="I135"/>
  <c r="J135"/>
  <c r="K135"/>
  <c r="L135"/>
  <c r="B135"/>
  <c r="C134"/>
  <c r="D134"/>
  <c r="E134"/>
  <c r="F134"/>
  <c r="G134"/>
  <c r="H134"/>
  <c r="I134"/>
  <c r="J134"/>
  <c r="K134"/>
  <c r="L134"/>
  <c r="B134"/>
  <c r="C133"/>
  <c r="D133"/>
  <c r="E133"/>
  <c r="F133"/>
  <c r="G133"/>
  <c r="H133"/>
  <c r="I133"/>
  <c r="J133"/>
  <c r="K133"/>
  <c r="L133"/>
  <c r="B133"/>
  <c r="C132"/>
  <c r="D132"/>
  <c r="E132"/>
  <c r="F132"/>
  <c r="G132"/>
  <c r="H132"/>
  <c r="I132"/>
  <c r="J132"/>
  <c r="K132"/>
  <c r="L132"/>
  <c r="B132"/>
  <c r="C131"/>
  <c r="D131"/>
  <c r="E131"/>
  <c r="F131"/>
  <c r="G131"/>
  <c r="H131"/>
  <c r="I131"/>
  <c r="J131"/>
  <c r="K131"/>
  <c r="L131"/>
  <c r="B131"/>
  <c r="C126"/>
  <c r="D126"/>
  <c r="E126"/>
  <c r="F126"/>
  <c r="G126"/>
  <c r="H126"/>
  <c r="I126"/>
  <c r="J126"/>
  <c r="K126"/>
  <c r="L126"/>
  <c r="C119"/>
  <c r="C137" s="1"/>
  <c r="L119"/>
  <c r="L97" s="1"/>
  <c r="D119"/>
  <c r="D97" s="1"/>
  <c r="E119"/>
  <c r="E97" s="1"/>
  <c r="F119"/>
  <c r="F97" s="1"/>
  <c r="G119"/>
  <c r="H119"/>
  <c r="H97" s="1"/>
  <c r="I119"/>
  <c r="I97" s="1"/>
  <c r="J119"/>
  <c r="J97" s="1"/>
  <c r="K119"/>
  <c r="K97" s="1"/>
  <c r="M183" i="3"/>
  <c r="M116" i="1"/>
  <c r="AL248" i="16" l="1"/>
  <c r="AV222"/>
  <c r="AL222"/>
  <c r="AX222"/>
  <c r="D85"/>
  <c r="E75"/>
  <c r="C97" i="1"/>
  <c r="G137"/>
  <c r="G97"/>
  <c r="M126"/>
  <c r="K137"/>
  <c r="M132"/>
  <c r="M134"/>
  <c r="M136"/>
  <c r="K149"/>
  <c r="I149"/>
  <c r="G149"/>
  <c r="E149"/>
  <c r="M131"/>
  <c r="D112" i="16" s="1"/>
  <c r="M133" i="1"/>
  <c r="M135"/>
  <c r="M138"/>
  <c r="M143"/>
  <c r="M139"/>
  <c r="M140"/>
  <c r="M141"/>
  <c r="L149"/>
  <c r="J149"/>
  <c r="H149"/>
  <c r="F149"/>
  <c r="D149"/>
  <c r="E142"/>
  <c r="M142" s="1"/>
  <c r="I137"/>
  <c r="E137"/>
  <c r="M119"/>
  <c r="L137"/>
  <c r="J137"/>
  <c r="H137"/>
  <c r="F137"/>
  <c r="D137"/>
  <c r="M147"/>
  <c r="C149"/>
  <c r="M154"/>
  <c r="M273" i="2"/>
  <c r="AL230"/>
  <c r="AY230" s="1"/>
  <c r="AL231"/>
  <c r="AY231" s="1"/>
  <c r="AL232"/>
  <c r="AY232" s="1"/>
  <c r="AL233"/>
  <c r="AY233" s="1"/>
  <c r="AL234"/>
  <c r="AY234" s="1"/>
  <c r="AL235"/>
  <c r="AY235" s="1"/>
  <c r="AL236"/>
  <c r="AY236" s="1"/>
  <c r="AL237"/>
  <c r="AY237" s="1"/>
  <c r="AL238"/>
  <c r="AY238" s="1"/>
  <c r="AL239"/>
  <c r="AY239" s="1"/>
  <c r="AL240"/>
  <c r="AY240" s="1"/>
  <c r="AK230"/>
  <c r="AX230" s="1"/>
  <c r="AK231"/>
  <c r="AX231" s="1"/>
  <c r="AK232"/>
  <c r="AX232" s="1"/>
  <c r="AK233"/>
  <c r="AX233" s="1"/>
  <c r="AK234"/>
  <c r="AX234" s="1"/>
  <c r="AK235"/>
  <c r="AX235" s="1"/>
  <c r="AK236"/>
  <c r="AX236" s="1"/>
  <c r="AK237"/>
  <c r="AX237" s="1"/>
  <c r="AK238"/>
  <c r="AX238" s="1"/>
  <c r="AK239"/>
  <c r="AX239" s="1"/>
  <c r="AK240"/>
  <c r="AX240" s="1"/>
  <c r="AJ230"/>
  <c r="AW230" s="1"/>
  <c r="AJ231"/>
  <c r="AW231" s="1"/>
  <c r="AJ232"/>
  <c r="AW232" s="1"/>
  <c r="AJ233"/>
  <c r="AW233" s="1"/>
  <c r="AJ234"/>
  <c r="AW234" s="1"/>
  <c r="AJ235"/>
  <c r="AW235" s="1"/>
  <c r="AJ236"/>
  <c r="AW236" s="1"/>
  <c r="AJ237"/>
  <c r="AW237" s="1"/>
  <c r="AJ238"/>
  <c r="AW238" s="1"/>
  <c r="AJ239"/>
  <c r="AW239" s="1"/>
  <c r="AJ240"/>
  <c r="AW240" s="1"/>
  <c r="AI230"/>
  <c r="AV230" s="1"/>
  <c r="AI231"/>
  <c r="AV231" s="1"/>
  <c r="AI232"/>
  <c r="AV232" s="1"/>
  <c r="AI233"/>
  <c r="AV233" s="1"/>
  <c r="AI234"/>
  <c r="AV234" s="1"/>
  <c r="AI235"/>
  <c r="AV235" s="1"/>
  <c r="AI236"/>
  <c r="AV236" s="1"/>
  <c r="AI237"/>
  <c r="AV237" s="1"/>
  <c r="AI238"/>
  <c r="AV238" s="1"/>
  <c r="AI239"/>
  <c r="AV239" s="1"/>
  <c r="AI240"/>
  <c r="AV240" s="1"/>
  <c r="AH230"/>
  <c r="AU230" s="1"/>
  <c r="AH231"/>
  <c r="AU231" s="1"/>
  <c r="AH232"/>
  <c r="AU232" s="1"/>
  <c r="AH233"/>
  <c r="AU233" s="1"/>
  <c r="AH234"/>
  <c r="AU234" s="1"/>
  <c r="AH235"/>
  <c r="AU235" s="1"/>
  <c r="AH236"/>
  <c r="AU236" s="1"/>
  <c r="AH237"/>
  <c r="AU237" s="1"/>
  <c r="AH238"/>
  <c r="AU238" s="1"/>
  <c r="AH239"/>
  <c r="AU239" s="1"/>
  <c r="AH240"/>
  <c r="AU240" s="1"/>
  <c r="AG230"/>
  <c r="AT230" s="1"/>
  <c r="AG231"/>
  <c r="AT231" s="1"/>
  <c r="AG232"/>
  <c r="AT232" s="1"/>
  <c r="AG233"/>
  <c r="AT233" s="1"/>
  <c r="AG234"/>
  <c r="AT234" s="1"/>
  <c r="AG235"/>
  <c r="AT235" s="1"/>
  <c r="AG236"/>
  <c r="AT236" s="1"/>
  <c r="AG237"/>
  <c r="AT237" s="1"/>
  <c r="AG238"/>
  <c r="AT238" s="1"/>
  <c r="AG239"/>
  <c r="AT239" s="1"/>
  <c r="AG240"/>
  <c r="AT240" s="1"/>
  <c r="AF230"/>
  <c r="AS230" s="1"/>
  <c r="AF231"/>
  <c r="AS231" s="1"/>
  <c r="AF232"/>
  <c r="AS232" s="1"/>
  <c r="AF233"/>
  <c r="AS233" s="1"/>
  <c r="AF234"/>
  <c r="AS234" s="1"/>
  <c r="AF235"/>
  <c r="AS235" s="1"/>
  <c r="AF236"/>
  <c r="AS236" s="1"/>
  <c r="AF237"/>
  <c r="AS237" s="1"/>
  <c r="AF238"/>
  <c r="AS238" s="1"/>
  <c r="AF239"/>
  <c r="AS239" s="1"/>
  <c r="AF240"/>
  <c r="AS240" s="1"/>
  <c r="AE230"/>
  <c r="AR230" s="1"/>
  <c r="AE231"/>
  <c r="AR231" s="1"/>
  <c r="AE232"/>
  <c r="AR232" s="1"/>
  <c r="AE233"/>
  <c r="AR233" s="1"/>
  <c r="AE234"/>
  <c r="AR234" s="1"/>
  <c r="AE235"/>
  <c r="AR235" s="1"/>
  <c r="AE236"/>
  <c r="AR236" s="1"/>
  <c r="AE237"/>
  <c r="AR237" s="1"/>
  <c r="AE238"/>
  <c r="AR238" s="1"/>
  <c r="AE239"/>
  <c r="AR239" s="1"/>
  <c r="AE240"/>
  <c r="AR240" s="1"/>
  <c r="AD230"/>
  <c r="AQ230" s="1"/>
  <c r="AD231"/>
  <c r="AQ231" s="1"/>
  <c r="AD232"/>
  <c r="AQ232" s="1"/>
  <c r="AD233"/>
  <c r="AQ233" s="1"/>
  <c r="AD234"/>
  <c r="AQ234" s="1"/>
  <c r="AD235"/>
  <c r="AQ235" s="1"/>
  <c r="AD236"/>
  <c r="AQ236" s="1"/>
  <c r="AD237"/>
  <c r="AQ237" s="1"/>
  <c r="AD238"/>
  <c r="AQ238" s="1"/>
  <c r="AD239"/>
  <c r="AQ239" s="1"/>
  <c r="AD240"/>
  <c r="AQ240" s="1"/>
  <c r="AC230"/>
  <c r="AP230" s="1"/>
  <c r="AC231"/>
  <c r="AP231" s="1"/>
  <c r="AC232"/>
  <c r="AP232" s="1"/>
  <c r="AC233"/>
  <c r="AP233" s="1"/>
  <c r="AC234"/>
  <c r="AP234" s="1"/>
  <c r="AC235"/>
  <c r="AP235" s="1"/>
  <c r="AC236"/>
  <c r="AP236" s="1"/>
  <c r="AC237"/>
  <c r="AP237" s="1"/>
  <c r="AC238"/>
  <c r="AP238" s="1"/>
  <c r="AC239"/>
  <c r="AP239" s="1"/>
  <c r="AC240"/>
  <c r="AP240" s="1"/>
  <c r="AD229"/>
  <c r="AQ229" s="1"/>
  <c r="AE229"/>
  <c r="AR229" s="1"/>
  <c r="AF229"/>
  <c r="AS229" s="1"/>
  <c r="AG229"/>
  <c r="AT229" s="1"/>
  <c r="AH229"/>
  <c r="AU229" s="1"/>
  <c r="AI229"/>
  <c r="AV229" s="1"/>
  <c r="AJ229"/>
  <c r="AW229" s="1"/>
  <c r="AK229"/>
  <c r="AX229" s="1"/>
  <c r="AL229"/>
  <c r="AY229" s="1"/>
  <c r="AC229"/>
  <c r="AP229" s="1"/>
  <c r="AC225"/>
  <c r="AP225" s="1"/>
  <c r="AD139"/>
  <c r="AQ139" s="1"/>
  <c r="AL225"/>
  <c r="AY225" s="1"/>
  <c r="AE157"/>
  <c r="AR157" s="1"/>
  <c r="AL5"/>
  <c r="AY5" s="1"/>
  <c r="AL6"/>
  <c r="AY6" s="1"/>
  <c r="AL7"/>
  <c r="AY7" s="1"/>
  <c r="AL8"/>
  <c r="AY8" s="1"/>
  <c r="AL9"/>
  <c r="AY9" s="1"/>
  <c r="AL10"/>
  <c r="AY10" s="1"/>
  <c r="AL11"/>
  <c r="AY11" s="1"/>
  <c r="AL12"/>
  <c r="AY12" s="1"/>
  <c r="AL13"/>
  <c r="AY13" s="1"/>
  <c r="AL14"/>
  <c r="AY14" s="1"/>
  <c r="AL15"/>
  <c r="AY15" s="1"/>
  <c r="AL16"/>
  <c r="AY16" s="1"/>
  <c r="AL17"/>
  <c r="AY17" s="1"/>
  <c r="AL18"/>
  <c r="AY18" s="1"/>
  <c r="AL19"/>
  <c r="AY19" s="1"/>
  <c r="AL20"/>
  <c r="AY20" s="1"/>
  <c r="AL21"/>
  <c r="AY21" s="1"/>
  <c r="AL22"/>
  <c r="AY22" s="1"/>
  <c r="AL23"/>
  <c r="AY23" s="1"/>
  <c r="AL24"/>
  <c r="AY24" s="1"/>
  <c r="AL25"/>
  <c r="AY25" s="1"/>
  <c r="AL26"/>
  <c r="AY26" s="1"/>
  <c r="AL27"/>
  <c r="AY27" s="1"/>
  <c r="AL28"/>
  <c r="AY28" s="1"/>
  <c r="AL29"/>
  <c r="AY29" s="1"/>
  <c r="AL30"/>
  <c r="AY30" s="1"/>
  <c r="AL31"/>
  <c r="AY31" s="1"/>
  <c r="AL32"/>
  <c r="AY32" s="1"/>
  <c r="AL33"/>
  <c r="AY33" s="1"/>
  <c r="AL34"/>
  <c r="AY34" s="1"/>
  <c r="AL35"/>
  <c r="AY35" s="1"/>
  <c r="AL36"/>
  <c r="AY36" s="1"/>
  <c r="AL37"/>
  <c r="AY37" s="1"/>
  <c r="AL38"/>
  <c r="AY38" s="1"/>
  <c r="AL39"/>
  <c r="AY39" s="1"/>
  <c r="AL40"/>
  <c r="AY40" s="1"/>
  <c r="AL41"/>
  <c r="AY41" s="1"/>
  <c r="AL42"/>
  <c r="AY42" s="1"/>
  <c r="AL43"/>
  <c r="AY43" s="1"/>
  <c r="AL44"/>
  <c r="AY44" s="1"/>
  <c r="AL45"/>
  <c r="AY45" s="1"/>
  <c r="AL46"/>
  <c r="AY46" s="1"/>
  <c r="AL47"/>
  <c r="AY47" s="1"/>
  <c r="AL48"/>
  <c r="AY48" s="1"/>
  <c r="AL49"/>
  <c r="AY49" s="1"/>
  <c r="AL50"/>
  <c r="AY50" s="1"/>
  <c r="AL51"/>
  <c r="AY51" s="1"/>
  <c r="AL52"/>
  <c r="AY52" s="1"/>
  <c r="AL53"/>
  <c r="AY53" s="1"/>
  <c r="AL54"/>
  <c r="AY54" s="1"/>
  <c r="AL55"/>
  <c r="AY55" s="1"/>
  <c r="AL56"/>
  <c r="AY56" s="1"/>
  <c r="AL57"/>
  <c r="AY57" s="1"/>
  <c r="AL58"/>
  <c r="AY58" s="1"/>
  <c r="AL59"/>
  <c r="AY59" s="1"/>
  <c r="AL60"/>
  <c r="AY60" s="1"/>
  <c r="AL61"/>
  <c r="AY61" s="1"/>
  <c r="AL62"/>
  <c r="AY62" s="1"/>
  <c r="AL63"/>
  <c r="AY63" s="1"/>
  <c r="AL64"/>
  <c r="AY64" s="1"/>
  <c r="AL65"/>
  <c r="AY65" s="1"/>
  <c r="AL66"/>
  <c r="AY66" s="1"/>
  <c r="AL67"/>
  <c r="AY67" s="1"/>
  <c r="AL68"/>
  <c r="AY68" s="1"/>
  <c r="AL69"/>
  <c r="AY69" s="1"/>
  <c r="AL70"/>
  <c r="AY70" s="1"/>
  <c r="AL71"/>
  <c r="AY71" s="1"/>
  <c r="AL72"/>
  <c r="AY72" s="1"/>
  <c r="AL73"/>
  <c r="AY73" s="1"/>
  <c r="AL74"/>
  <c r="AY74" s="1"/>
  <c r="AL75"/>
  <c r="AY75" s="1"/>
  <c r="AL76"/>
  <c r="AY76" s="1"/>
  <c r="AL77"/>
  <c r="AY77" s="1"/>
  <c r="AL78"/>
  <c r="AY78" s="1"/>
  <c r="AL79"/>
  <c r="AY79" s="1"/>
  <c r="AL80"/>
  <c r="AY80" s="1"/>
  <c r="AL81"/>
  <c r="AY81" s="1"/>
  <c r="AL82"/>
  <c r="AY82" s="1"/>
  <c r="AL83"/>
  <c r="AY83" s="1"/>
  <c r="AL84"/>
  <c r="AY84" s="1"/>
  <c r="AL85"/>
  <c r="AY85" s="1"/>
  <c r="AL86"/>
  <c r="AY86" s="1"/>
  <c r="AL87"/>
  <c r="AY87" s="1"/>
  <c r="AL88"/>
  <c r="AY88" s="1"/>
  <c r="AL89"/>
  <c r="AY89" s="1"/>
  <c r="AL90"/>
  <c r="AY90" s="1"/>
  <c r="AL91"/>
  <c r="AY91" s="1"/>
  <c r="AL92"/>
  <c r="AY92" s="1"/>
  <c r="AL93"/>
  <c r="AY93" s="1"/>
  <c r="AL94"/>
  <c r="AY94" s="1"/>
  <c r="AL95"/>
  <c r="AY95" s="1"/>
  <c r="AL96"/>
  <c r="AY96" s="1"/>
  <c r="AL97"/>
  <c r="AY97" s="1"/>
  <c r="AL98"/>
  <c r="AY98" s="1"/>
  <c r="AL99"/>
  <c r="AY99" s="1"/>
  <c r="AL100"/>
  <c r="AY100" s="1"/>
  <c r="AL101"/>
  <c r="AY101" s="1"/>
  <c r="AL102"/>
  <c r="AY102" s="1"/>
  <c r="AL103"/>
  <c r="AY103" s="1"/>
  <c r="AL104"/>
  <c r="AY104" s="1"/>
  <c r="AL105"/>
  <c r="AY105" s="1"/>
  <c r="AL106"/>
  <c r="AY106" s="1"/>
  <c r="AL107"/>
  <c r="AY107" s="1"/>
  <c r="AL108"/>
  <c r="AY108" s="1"/>
  <c r="AL109"/>
  <c r="AY109" s="1"/>
  <c r="AL110"/>
  <c r="AY110" s="1"/>
  <c r="AL111"/>
  <c r="AY111" s="1"/>
  <c r="AL112"/>
  <c r="AY112" s="1"/>
  <c r="AL113"/>
  <c r="AY113" s="1"/>
  <c r="AL114"/>
  <c r="AY114" s="1"/>
  <c r="AL115"/>
  <c r="AY115" s="1"/>
  <c r="AL116"/>
  <c r="AY116" s="1"/>
  <c r="AL117"/>
  <c r="AY117" s="1"/>
  <c r="AL118"/>
  <c r="AY118" s="1"/>
  <c r="AL119"/>
  <c r="AY119" s="1"/>
  <c r="AL120"/>
  <c r="AY120" s="1"/>
  <c r="AL121"/>
  <c r="AY121" s="1"/>
  <c r="AL122"/>
  <c r="AY122" s="1"/>
  <c r="AL123"/>
  <c r="AY123" s="1"/>
  <c r="AL124"/>
  <c r="AY124" s="1"/>
  <c r="AL125"/>
  <c r="AY125" s="1"/>
  <c r="AL126"/>
  <c r="AY126" s="1"/>
  <c r="AL127"/>
  <c r="AY127" s="1"/>
  <c r="AL128"/>
  <c r="AY128" s="1"/>
  <c r="AL129"/>
  <c r="AY129" s="1"/>
  <c r="AL130"/>
  <c r="AY130" s="1"/>
  <c r="AL131"/>
  <c r="AY131" s="1"/>
  <c r="AL132"/>
  <c r="AY132" s="1"/>
  <c r="AL133"/>
  <c r="AY133" s="1"/>
  <c r="AL134"/>
  <c r="AY134" s="1"/>
  <c r="AL135"/>
  <c r="AY135" s="1"/>
  <c r="AL136"/>
  <c r="AY136" s="1"/>
  <c r="AL137"/>
  <c r="AY137" s="1"/>
  <c r="AL138"/>
  <c r="AY138" s="1"/>
  <c r="AL139"/>
  <c r="AY139" s="1"/>
  <c r="AL140"/>
  <c r="AY140" s="1"/>
  <c r="AL141"/>
  <c r="AY141" s="1"/>
  <c r="AL142"/>
  <c r="AY142" s="1"/>
  <c r="AL143"/>
  <c r="AY143" s="1"/>
  <c r="AL144"/>
  <c r="AY144" s="1"/>
  <c r="AL145"/>
  <c r="AY145" s="1"/>
  <c r="AL146"/>
  <c r="AY146" s="1"/>
  <c r="AL147"/>
  <c r="AY147" s="1"/>
  <c r="AL148"/>
  <c r="AY148" s="1"/>
  <c r="AL149"/>
  <c r="AY149" s="1"/>
  <c r="AL150"/>
  <c r="AY150" s="1"/>
  <c r="AL151"/>
  <c r="AY151" s="1"/>
  <c r="AL152"/>
  <c r="AY152" s="1"/>
  <c r="AL153"/>
  <c r="AY153" s="1"/>
  <c r="AL154"/>
  <c r="AY154" s="1"/>
  <c r="AL155"/>
  <c r="AY155" s="1"/>
  <c r="AL156"/>
  <c r="AY156" s="1"/>
  <c r="AL157"/>
  <c r="AY157" s="1"/>
  <c r="AL158"/>
  <c r="AY158" s="1"/>
  <c r="AL159"/>
  <c r="AY159" s="1"/>
  <c r="AL160"/>
  <c r="AY160" s="1"/>
  <c r="AL161"/>
  <c r="AY161" s="1"/>
  <c r="AL162"/>
  <c r="AY162" s="1"/>
  <c r="AL163"/>
  <c r="AY163" s="1"/>
  <c r="AL164"/>
  <c r="AY164" s="1"/>
  <c r="AL165"/>
  <c r="AY165" s="1"/>
  <c r="AL166"/>
  <c r="AY166" s="1"/>
  <c r="AL167"/>
  <c r="AY167" s="1"/>
  <c r="AL168"/>
  <c r="AY168" s="1"/>
  <c r="AL169"/>
  <c r="AY169" s="1"/>
  <c r="AL170"/>
  <c r="AY170" s="1"/>
  <c r="AL171"/>
  <c r="AY171" s="1"/>
  <c r="AL172"/>
  <c r="AY172" s="1"/>
  <c r="AL173"/>
  <c r="AY173" s="1"/>
  <c r="AL174"/>
  <c r="AY174" s="1"/>
  <c r="AL175"/>
  <c r="AY175" s="1"/>
  <c r="AL176"/>
  <c r="AY176" s="1"/>
  <c r="AL177"/>
  <c r="AY177" s="1"/>
  <c r="AL178"/>
  <c r="AY178" s="1"/>
  <c r="AL179"/>
  <c r="AY179" s="1"/>
  <c r="AL180"/>
  <c r="AY180" s="1"/>
  <c r="AL181"/>
  <c r="AY181" s="1"/>
  <c r="AL182"/>
  <c r="AY182" s="1"/>
  <c r="AL183"/>
  <c r="AY183" s="1"/>
  <c r="AL184"/>
  <c r="AY184" s="1"/>
  <c r="AL185"/>
  <c r="AY185" s="1"/>
  <c r="AL186"/>
  <c r="AY186" s="1"/>
  <c r="AL187"/>
  <c r="AY187" s="1"/>
  <c r="AL188"/>
  <c r="AY188" s="1"/>
  <c r="AL189"/>
  <c r="AY189" s="1"/>
  <c r="AL190"/>
  <c r="AY190" s="1"/>
  <c r="AL191"/>
  <c r="AY191" s="1"/>
  <c r="AL192"/>
  <c r="AY192" s="1"/>
  <c r="AL193"/>
  <c r="AY193" s="1"/>
  <c r="AL194"/>
  <c r="AY194" s="1"/>
  <c r="AL195"/>
  <c r="AY195" s="1"/>
  <c r="AL196"/>
  <c r="AY196" s="1"/>
  <c r="AL197"/>
  <c r="AY197" s="1"/>
  <c r="AL198"/>
  <c r="AY198" s="1"/>
  <c r="AL199"/>
  <c r="AY199" s="1"/>
  <c r="AL200"/>
  <c r="AY200" s="1"/>
  <c r="AL201"/>
  <c r="AY201" s="1"/>
  <c r="AL202"/>
  <c r="AY202" s="1"/>
  <c r="AL203"/>
  <c r="AY203" s="1"/>
  <c r="AL204"/>
  <c r="AY204" s="1"/>
  <c r="AL205"/>
  <c r="AY205" s="1"/>
  <c r="AL206"/>
  <c r="AY206" s="1"/>
  <c r="AL207"/>
  <c r="AY207" s="1"/>
  <c r="AL208"/>
  <c r="AY208" s="1"/>
  <c r="AL209"/>
  <c r="AY209" s="1"/>
  <c r="AL210"/>
  <c r="AY210" s="1"/>
  <c r="AL211"/>
  <c r="AY211" s="1"/>
  <c r="AL212"/>
  <c r="AY212" s="1"/>
  <c r="AL213"/>
  <c r="AY213" s="1"/>
  <c r="AL214"/>
  <c r="AY214" s="1"/>
  <c r="AL215"/>
  <c r="AY215" s="1"/>
  <c r="AL216"/>
  <c r="AY216" s="1"/>
  <c r="AL217"/>
  <c r="AY217" s="1"/>
  <c r="AL218"/>
  <c r="AY218" s="1"/>
  <c r="AL219"/>
  <c r="AY219" s="1"/>
  <c r="AL220"/>
  <c r="AY220" s="1"/>
  <c r="AL221"/>
  <c r="AY221" s="1"/>
  <c r="AL222"/>
  <c r="AY222" s="1"/>
  <c r="AL223"/>
  <c r="AY223" s="1"/>
  <c r="AL224"/>
  <c r="AY224" s="1"/>
  <c r="AK5"/>
  <c r="AX5" s="1"/>
  <c r="AK6"/>
  <c r="AX6" s="1"/>
  <c r="AK7"/>
  <c r="AX7" s="1"/>
  <c r="AK8"/>
  <c r="AX8" s="1"/>
  <c r="AK9"/>
  <c r="AX9" s="1"/>
  <c r="AK10"/>
  <c r="AX10" s="1"/>
  <c r="AK11"/>
  <c r="AX11" s="1"/>
  <c r="AK12"/>
  <c r="AX12" s="1"/>
  <c r="AK13"/>
  <c r="AX13" s="1"/>
  <c r="AK14"/>
  <c r="AX14" s="1"/>
  <c r="AK15"/>
  <c r="AX15" s="1"/>
  <c r="AK16"/>
  <c r="AX16" s="1"/>
  <c r="AK17"/>
  <c r="AX17" s="1"/>
  <c r="AK18"/>
  <c r="AX18" s="1"/>
  <c r="AK19"/>
  <c r="AX19" s="1"/>
  <c r="AK20"/>
  <c r="AX20" s="1"/>
  <c r="AK21"/>
  <c r="AX21" s="1"/>
  <c r="AK22"/>
  <c r="AX22" s="1"/>
  <c r="AK23"/>
  <c r="AX23" s="1"/>
  <c r="AK24"/>
  <c r="AX24" s="1"/>
  <c r="AK25"/>
  <c r="AX25" s="1"/>
  <c r="AK26"/>
  <c r="AX26" s="1"/>
  <c r="AK27"/>
  <c r="AX27" s="1"/>
  <c r="AK28"/>
  <c r="AX28" s="1"/>
  <c r="AK29"/>
  <c r="AX29" s="1"/>
  <c r="AK30"/>
  <c r="AX30" s="1"/>
  <c r="AK31"/>
  <c r="AX31" s="1"/>
  <c r="AK32"/>
  <c r="AX32" s="1"/>
  <c r="AK33"/>
  <c r="AX33" s="1"/>
  <c r="AK34"/>
  <c r="AX34" s="1"/>
  <c r="AK35"/>
  <c r="AX35" s="1"/>
  <c r="AK36"/>
  <c r="AX36" s="1"/>
  <c r="AK37"/>
  <c r="AX37" s="1"/>
  <c r="AK38"/>
  <c r="AX38" s="1"/>
  <c r="AK39"/>
  <c r="AX39" s="1"/>
  <c r="AK40"/>
  <c r="AX40" s="1"/>
  <c r="AK41"/>
  <c r="AX41" s="1"/>
  <c r="AK42"/>
  <c r="AX42" s="1"/>
  <c r="AK43"/>
  <c r="AX43" s="1"/>
  <c r="AK44"/>
  <c r="AX44" s="1"/>
  <c r="AK45"/>
  <c r="AX45" s="1"/>
  <c r="AK46"/>
  <c r="AX46" s="1"/>
  <c r="AK47"/>
  <c r="AX47" s="1"/>
  <c r="AK48"/>
  <c r="AX48" s="1"/>
  <c r="AK49"/>
  <c r="AX49" s="1"/>
  <c r="AK50"/>
  <c r="AX50" s="1"/>
  <c r="AK51"/>
  <c r="AX51" s="1"/>
  <c r="AK52"/>
  <c r="AX52" s="1"/>
  <c r="AK53"/>
  <c r="AX53" s="1"/>
  <c r="AK54"/>
  <c r="AX54" s="1"/>
  <c r="AK55"/>
  <c r="AX55" s="1"/>
  <c r="AK56"/>
  <c r="AX56" s="1"/>
  <c r="AK57"/>
  <c r="AX57" s="1"/>
  <c r="AK58"/>
  <c r="AX58" s="1"/>
  <c r="AK59"/>
  <c r="AX59" s="1"/>
  <c r="AK60"/>
  <c r="AX60" s="1"/>
  <c r="AK61"/>
  <c r="AX61" s="1"/>
  <c r="AK62"/>
  <c r="AX62" s="1"/>
  <c r="AK63"/>
  <c r="AX63" s="1"/>
  <c r="AK64"/>
  <c r="AX64" s="1"/>
  <c r="AK65"/>
  <c r="AX65" s="1"/>
  <c r="AK66"/>
  <c r="AX66" s="1"/>
  <c r="AK67"/>
  <c r="AX67" s="1"/>
  <c r="AK68"/>
  <c r="AX68" s="1"/>
  <c r="AK69"/>
  <c r="AX69" s="1"/>
  <c r="AK70"/>
  <c r="AX70" s="1"/>
  <c r="AK71"/>
  <c r="AX71" s="1"/>
  <c r="AK72"/>
  <c r="AX72" s="1"/>
  <c r="AK73"/>
  <c r="AX73" s="1"/>
  <c r="AK74"/>
  <c r="AX74" s="1"/>
  <c r="AK75"/>
  <c r="AX75" s="1"/>
  <c r="AK76"/>
  <c r="AX76" s="1"/>
  <c r="AK77"/>
  <c r="AX77" s="1"/>
  <c r="AK78"/>
  <c r="AX78" s="1"/>
  <c r="AK79"/>
  <c r="AX79" s="1"/>
  <c r="AK80"/>
  <c r="AX80" s="1"/>
  <c r="AK81"/>
  <c r="AX81" s="1"/>
  <c r="AK82"/>
  <c r="AX82" s="1"/>
  <c r="AK83"/>
  <c r="AX83" s="1"/>
  <c r="AK84"/>
  <c r="AX84" s="1"/>
  <c r="AK85"/>
  <c r="AX85" s="1"/>
  <c r="AK86"/>
  <c r="AX86" s="1"/>
  <c r="AK87"/>
  <c r="AX87" s="1"/>
  <c r="AK88"/>
  <c r="AX88" s="1"/>
  <c r="AK89"/>
  <c r="AX89" s="1"/>
  <c r="AK90"/>
  <c r="AX90" s="1"/>
  <c r="AK91"/>
  <c r="AX91" s="1"/>
  <c r="AK92"/>
  <c r="AX92" s="1"/>
  <c r="AK93"/>
  <c r="AX93" s="1"/>
  <c r="AK94"/>
  <c r="AX94" s="1"/>
  <c r="AK95"/>
  <c r="AX95" s="1"/>
  <c r="AK96"/>
  <c r="AX96" s="1"/>
  <c r="AK97"/>
  <c r="AX97" s="1"/>
  <c r="AK98"/>
  <c r="AX98" s="1"/>
  <c r="AK99"/>
  <c r="AX99" s="1"/>
  <c r="AK100"/>
  <c r="AX100" s="1"/>
  <c r="AK101"/>
  <c r="AX101" s="1"/>
  <c r="AK102"/>
  <c r="AX102" s="1"/>
  <c r="AK103"/>
  <c r="AX103" s="1"/>
  <c r="AK104"/>
  <c r="AX104" s="1"/>
  <c r="AK105"/>
  <c r="AX105" s="1"/>
  <c r="AK106"/>
  <c r="AX106" s="1"/>
  <c r="AK107"/>
  <c r="AX107" s="1"/>
  <c r="AK108"/>
  <c r="AX108" s="1"/>
  <c r="AK109"/>
  <c r="AX109" s="1"/>
  <c r="AK110"/>
  <c r="AX110" s="1"/>
  <c r="AK111"/>
  <c r="AX111" s="1"/>
  <c r="AK112"/>
  <c r="AX112" s="1"/>
  <c r="AK113"/>
  <c r="AX113" s="1"/>
  <c r="AK114"/>
  <c r="AX114" s="1"/>
  <c r="AK115"/>
  <c r="AX115" s="1"/>
  <c r="AK116"/>
  <c r="AX116" s="1"/>
  <c r="AK117"/>
  <c r="AX117" s="1"/>
  <c r="AK118"/>
  <c r="AX118" s="1"/>
  <c r="AK119"/>
  <c r="AX119" s="1"/>
  <c r="AK120"/>
  <c r="AX120" s="1"/>
  <c r="AK121"/>
  <c r="AX121" s="1"/>
  <c r="AK122"/>
  <c r="AX122" s="1"/>
  <c r="AK123"/>
  <c r="AX123" s="1"/>
  <c r="AK124"/>
  <c r="AX124" s="1"/>
  <c r="AK125"/>
  <c r="AX125" s="1"/>
  <c r="AK126"/>
  <c r="AX126" s="1"/>
  <c r="AK127"/>
  <c r="AX127" s="1"/>
  <c r="AK128"/>
  <c r="AX128" s="1"/>
  <c r="AK129"/>
  <c r="AX129" s="1"/>
  <c r="AK130"/>
  <c r="AX130" s="1"/>
  <c r="AK131"/>
  <c r="AX131" s="1"/>
  <c r="AK132"/>
  <c r="AX132" s="1"/>
  <c r="AK133"/>
  <c r="AX133" s="1"/>
  <c r="AK134"/>
  <c r="AX134" s="1"/>
  <c r="AK135"/>
  <c r="AX135" s="1"/>
  <c r="AK136"/>
  <c r="AX136" s="1"/>
  <c r="AK137"/>
  <c r="AX137" s="1"/>
  <c r="AK138"/>
  <c r="AX138" s="1"/>
  <c r="AK139"/>
  <c r="AX139" s="1"/>
  <c r="AK140"/>
  <c r="AX140" s="1"/>
  <c r="AK141"/>
  <c r="AX141" s="1"/>
  <c r="AK142"/>
  <c r="AX142" s="1"/>
  <c r="AK143"/>
  <c r="AX143" s="1"/>
  <c r="AK144"/>
  <c r="AX144" s="1"/>
  <c r="AK145"/>
  <c r="AX145" s="1"/>
  <c r="AK146"/>
  <c r="AX146" s="1"/>
  <c r="AK147"/>
  <c r="AX147" s="1"/>
  <c r="AK148"/>
  <c r="AX148" s="1"/>
  <c r="AK149"/>
  <c r="AX149" s="1"/>
  <c r="AK150"/>
  <c r="AX150" s="1"/>
  <c r="AK151"/>
  <c r="AX151" s="1"/>
  <c r="AK152"/>
  <c r="AX152" s="1"/>
  <c r="AK153"/>
  <c r="AX153" s="1"/>
  <c r="AK154"/>
  <c r="AX154" s="1"/>
  <c r="AK155"/>
  <c r="AX155" s="1"/>
  <c r="AK156"/>
  <c r="AX156" s="1"/>
  <c r="AK157"/>
  <c r="AX157" s="1"/>
  <c r="AK158"/>
  <c r="AX158" s="1"/>
  <c r="AK159"/>
  <c r="AX159" s="1"/>
  <c r="AK160"/>
  <c r="AX160" s="1"/>
  <c r="AK161"/>
  <c r="AX161" s="1"/>
  <c r="AK162"/>
  <c r="AX162" s="1"/>
  <c r="AK163"/>
  <c r="AX163" s="1"/>
  <c r="AK164"/>
  <c r="AX164" s="1"/>
  <c r="AK165"/>
  <c r="AX165" s="1"/>
  <c r="AK166"/>
  <c r="AX166" s="1"/>
  <c r="AK167"/>
  <c r="AX167" s="1"/>
  <c r="AK168"/>
  <c r="AX168" s="1"/>
  <c r="AK169"/>
  <c r="AX169" s="1"/>
  <c r="AK170"/>
  <c r="AX170" s="1"/>
  <c r="AK171"/>
  <c r="AX171" s="1"/>
  <c r="AK172"/>
  <c r="AX172" s="1"/>
  <c r="AK173"/>
  <c r="AX173" s="1"/>
  <c r="AK174"/>
  <c r="AX174" s="1"/>
  <c r="AK175"/>
  <c r="AX175" s="1"/>
  <c r="AK176"/>
  <c r="AX176" s="1"/>
  <c r="AK177"/>
  <c r="AX177" s="1"/>
  <c r="AK178"/>
  <c r="AX178" s="1"/>
  <c r="AK179"/>
  <c r="AX179" s="1"/>
  <c r="AK180"/>
  <c r="AX180" s="1"/>
  <c r="AK181"/>
  <c r="AX181" s="1"/>
  <c r="AK182"/>
  <c r="AX182" s="1"/>
  <c r="AK183"/>
  <c r="AX183" s="1"/>
  <c r="AK184"/>
  <c r="AX184" s="1"/>
  <c r="AK185"/>
  <c r="AX185" s="1"/>
  <c r="AK186"/>
  <c r="AX186" s="1"/>
  <c r="AK187"/>
  <c r="AX187" s="1"/>
  <c r="AK188"/>
  <c r="AX188" s="1"/>
  <c r="AK189"/>
  <c r="AX189" s="1"/>
  <c r="AK190"/>
  <c r="AX190" s="1"/>
  <c r="AK191"/>
  <c r="AX191" s="1"/>
  <c r="AK192"/>
  <c r="AX192" s="1"/>
  <c r="AK193"/>
  <c r="AX193" s="1"/>
  <c r="AK194"/>
  <c r="AX194" s="1"/>
  <c r="AK195"/>
  <c r="AX195" s="1"/>
  <c r="AK196"/>
  <c r="AX196" s="1"/>
  <c r="AK197"/>
  <c r="AX197" s="1"/>
  <c r="AK198"/>
  <c r="AX198" s="1"/>
  <c r="AK199"/>
  <c r="AX199" s="1"/>
  <c r="AK200"/>
  <c r="AX200" s="1"/>
  <c r="AK201"/>
  <c r="AX201" s="1"/>
  <c r="AK202"/>
  <c r="AX202" s="1"/>
  <c r="AK203"/>
  <c r="AX203" s="1"/>
  <c r="AK204"/>
  <c r="AX204" s="1"/>
  <c r="AK205"/>
  <c r="AX205" s="1"/>
  <c r="AK206"/>
  <c r="AX206" s="1"/>
  <c r="AK207"/>
  <c r="AX207" s="1"/>
  <c r="AK208"/>
  <c r="AX208" s="1"/>
  <c r="AK209"/>
  <c r="AX209" s="1"/>
  <c r="AK210"/>
  <c r="AX210" s="1"/>
  <c r="AK211"/>
  <c r="AX211" s="1"/>
  <c r="AK212"/>
  <c r="AX212" s="1"/>
  <c r="AK213"/>
  <c r="AX213" s="1"/>
  <c r="AK214"/>
  <c r="AX214" s="1"/>
  <c r="AK215"/>
  <c r="AX215" s="1"/>
  <c r="AK216"/>
  <c r="AX216" s="1"/>
  <c r="AK217"/>
  <c r="AX217" s="1"/>
  <c r="AK218"/>
  <c r="AX218" s="1"/>
  <c r="AK219"/>
  <c r="AX219" s="1"/>
  <c r="AK220"/>
  <c r="AX220" s="1"/>
  <c r="AK221"/>
  <c r="AX221" s="1"/>
  <c r="AK222"/>
  <c r="AX222" s="1"/>
  <c r="AK223"/>
  <c r="AX223" s="1"/>
  <c r="AK224"/>
  <c r="AX224" s="1"/>
  <c r="AK225"/>
  <c r="AX225" s="1"/>
  <c r="AJ5"/>
  <c r="AW5" s="1"/>
  <c r="AJ6"/>
  <c r="AW6" s="1"/>
  <c r="AJ7"/>
  <c r="AW7" s="1"/>
  <c r="AJ8"/>
  <c r="AW8" s="1"/>
  <c r="AJ9"/>
  <c r="AW9" s="1"/>
  <c r="AJ10"/>
  <c r="AW10" s="1"/>
  <c r="AJ11"/>
  <c r="AW11" s="1"/>
  <c r="AJ12"/>
  <c r="AW12" s="1"/>
  <c r="AJ13"/>
  <c r="AW13" s="1"/>
  <c r="AJ14"/>
  <c r="AW14" s="1"/>
  <c r="AJ15"/>
  <c r="AW15" s="1"/>
  <c r="AJ16"/>
  <c r="AW16" s="1"/>
  <c r="AJ17"/>
  <c r="AW17" s="1"/>
  <c r="AJ18"/>
  <c r="AW18" s="1"/>
  <c r="AJ19"/>
  <c r="AW19" s="1"/>
  <c r="AJ20"/>
  <c r="AW20" s="1"/>
  <c r="AJ21"/>
  <c r="AW21" s="1"/>
  <c r="AJ22"/>
  <c r="AW22" s="1"/>
  <c r="AJ23"/>
  <c r="AW23" s="1"/>
  <c r="AJ24"/>
  <c r="AW24" s="1"/>
  <c r="AJ25"/>
  <c r="AW25" s="1"/>
  <c r="AJ26"/>
  <c r="AW26" s="1"/>
  <c r="AJ27"/>
  <c r="AW27" s="1"/>
  <c r="AJ28"/>
  <c r="AW28" s="1"/>
  <c r="AJ29"/>
  <c r="AW29" s="1"/>
  <c r="AJ30"/>
  <c r="AW30" s="1"/>
  <c r="AJ31"/>
  <c r="AW31" s="1"/>
  <c r="AJ32"/>
  <c r="AW32" s="1"/>
  <c r="AJ33"/>
  <c r="AW33" s="1"/>
  <c r="AJ34"/>
  <c r="AW34" s="1"/>
  <c r="AJ35"/>
  <c r="AW35" s="1"/>
  <c r="AJ36"/>
  <c r="AW36" s="1"/>
  <c r="AJ37"/>
  <c r="AW37" s="1"/>
  <c r="AJ38"/>
  <c r="AW38" s="1"/>
  <c r="AJ39"/>
  <c r="AW39" s="1"/>
  <c r="AJ40"/>
  <c r="AW40" s="1"/>
  <c r="AJ41"/>
  <c r="AW41" s="1"/>
  <c r="AJ42"/>
  <c r="AW42" s="1"/>
  <c r="AJ43"/>
  <c r="AW43" s="1"/>
  <c r="AJ44"/>
  <c r="AW44" s="1"/>
  <c r="AJ45"/>
  <c r="AW45" s="1"/>
  <c r="AJ46"/>
  <c r="AW46" s="1"/>
  <c r="AJ47"/>
  <c r="AW47" s="1"/>
  <c r="AJ48"/>
  <c r="AW48" s="1"/>
  <c r="AJ49"/>
  <c r="AW49" s="1"/>
  <c r="AJ50"/>
  <c r="AW50" s="1"/>
  <c r="AJ51"/>
  <c r="AW51" s="1"/>
  <c r="AJ52"/>
  <c r="AW52" s="1"/>
  <c r="AJ53"/>
  <c r="AW53" s="1"/>
  <c r="AJ54"/>
  <c r="AW54" s="1"/>
  <c r="AJ55"/>
  <c r="AW55" s="1"/>
  <c r="AJ56"/>
  <c r="AW56" s="1"/>
  <c r="AJ57"/>
  <c r="AW57" s="1"/>
  <c r="AJ58"/>
  <c r="AW58" s="1"/>
  <c r="AJ59"/>
  <c r="AW59" s="1"/>
  <c r="AJ60"/>
  <c r="AW60" s="1"/>
  <c r="AJ61"/>
  <c r="AW61" s="1"/>
  <c r="AJ62"/>
  <c r="AW62" s="1"/>
  <c r="AJ63"/>
  <c r="AW63" s="1"/>
  <c r="AJ64"/>
  <c r="AW64" s="1"/>
  <c r="AJ65"/>
  <c r="AW65" s="1"/>
  <c r="AJ66"/>
  <c r="AW66" s="1"/>
  <c r="AJ67"/>
  <c r="AW67" s="1"/>
  <c r="AJ68"/>
  <c r="AW68" s="1"/>
  <c r="AJ69"/>
  <c r="AW69" s="1"/>
  <c r="AJ70"/>
  <c r="AW70" s="1"/>
  <c r="AJ71"/>
  <c r="AW71" s="1"/>
  <c r="AJ72"/>
  <c r="AW72" s="1"/>
  <c r="AJ73"/>
  <c r="AW73" s="1"/>
  <c r="AJ74"/>
  <c r="AW74" s="1"/>
  <c r="AJ75"/>
  <c r="AW75" s="1"/>
  <c r="AJ76"/>
  <c r="AW76" s="1"/>
  <c r="AJ77"/>
  <c r="AW77" s="1"/>
  <c r="AJ78"/>
  <c r="AW78" s="1"/>
  <c r="AJ79"/>
  <c r="AW79" s="1"/>
  <c r="AJ80"/>
  <c r="AW80" s="1"/>
  <c r="AJ81"/>
  <c r="AW81" s="1"/>
  <c r="AJ82"/>
  <c r="AW82" s="1"/>
  <c r="AJ83"/>
  <c r="AW83" s="1"/>
  <c r="AJ84"/>
  <c r="AW84" s="1"/>
  <c r="AJ85"/>
  <c r="AW85" s="1"/>
  <c r="AJ86"/>
  <c r="AW86" s="1"/>
  <c r="AJ87"/>
  <c r="AW87" s="1"/>
  <c r="AJ88"/>
  <c r="AW88" s="1"/>
  <c r="AJ89"/>
  <c r="AW89" s="1"/>
  <c r="AJ90"/>
  <c r="AW90" s="1"/>
  <c r="AJ91"/>
  <c r="AW91" s="1"/>
  <c r="AJ92"/>
  <c r="AW92" s="1"/>
  <c r="AJ93"/>
  <c r="AW93" s="1"/>
  <c r="AJ94"/>
  <c r="AW94" s="1"/>
  <c r="AJ95"/>
  <c r="AW95" s="1"/>
  <c r="AJ96"/>
  <c r="AW96" s="1"/>
  <c r="AJ97"/>
  <c r="AW97" s="1"/>
  <c r="AJ98"/>
  <c r="AW98" s="1"/>
  <c r="AJ99"/>
  <c r="AW99" s="1"/>
  <c r="AJ100"/>
  <c r="AW100" s="1"/>
  <c r="AJ101"/>
  <c r="AW101" s="1"/>
  <c r="AJ102"/>
  <c r="AW102" s="1"/>
  <c r="AJ103"/>
  <c r="AW103" s="1"/>
  <c r="AJ104"/>
  <c r="AW104" s="1"/>
  <c r="AJ105"/>
  <c r="AW105" s="1"/>
  <c r="AJ106"/>
  <c r="AW106" s="1"/>
  <c r="AJ107"/>
  <c r="AW107" s="1"/>
  <c r="AJ108"/>
  <c r="AW108" s="1"/>
  <c r="AJ109"/>
  <c r="AW109" s="1"/>
  <c r="AJ110"/>
  <c r="AW110" s="1"/>
  <c r="AJ111"/>
  <c r="AW111" s="1"/>
  <c r="AJ112"/>
  <c r="AW112" s="1"/>
  <c r="AJ113"/>
  <c r="AW113" s="1"/>
  <c r="AJ114"/>
  <c r="AW114" s="1"/>
  <c r="AJ115"/>
  <c r="AW115" s="1"/>
  <c r="AJ116"/>
  <c r="AW116" s="1"/>
  <c r="AJ117"/>
  <c r="AW117" s="1"/>
  <c r="AJ118"/>
  <c r="AW118" s="1"/>
  <c r="AJ119"/>
  <c r="AW119" s="1"/>
  <c r="AJ120"/>
  <c r="AW120" s="1"/>
  <c r="AJ121"/>
  <c r="AW121" s="1"/>
  <c r="AJ122"/>
  <c r="AW122" s="1"/>
  <c r="AJ123"/>
  <c r="AW123" s="1"/>
  <c r="AJ124"/>
  <c r="AW124" s="1"/>
  <c r="AJ125"/>
  <c r="AW125" s="1"/>
  <c r="AJ126"/>
  <c r="AW126" s="1"/>
  <c r="AJ127"/>
  <c r="AW127" s="1"/>
  <c r="AJ128"/>
  <c r="AW128" s="1"/>
  <c r="AJ129"/>
  <c r="AW129" s="1"/>
  <c r="AJ130"/>
  <c r="AW130" s="1"/>
  <c r="AJ131"/>
  <c r="AW131" s="1"/>
  <c r="AJ132"/>
  <c r="AW132" s="1"/>
  <c r="AJ133"/>
  <c r="AW133" s="1"/>
  <c r="AJ134"/>
  <c r="AW134" s="1"/>
  <c r="AJ135"/>
  <c r="AW135" s="1"/>
  <c r="AJ136"/>
  <c r="AW136" s="1"/>
  <c r="AJ137"/>
  <c r="AW137" s="1"/>
  <c r="AJ138"/>
  <c r="AW138" s="1"/>
  <c r="AJ139"/>
  <c r="AW139" s="1"/>
  <c r="AJ140"/>
  <c r="AW140" s="1"/>
  <c r="AJ141"/>
  <c r="AW141" s="1"/>
  <c r="AJ142"/>
  <c r="AW142" s="1"/>
  <c r="AJ143"/>
  <c r="AW143" s="1"/>
  <c r="AJ144"/>
  <c r="AW144" s="1"/>
  <c r="AJ145"/>
  <c r="AW145" s="1"/>
  <c r="AJ146"/>
  <c r="AW146" s="1"/>
  <c r="AJ147"/>
  <c r="AW147" s="1"/>
  <c r="AJ148"/>
  <c r="AW148" s="1"/>
  <c r="AJ149"/>
  <c r="AW149" s="1"/>
  <c r="AJ150"/>
  <c r="AW150" s="1"/>
  <c r="AJ151"/>
  <c r="AW151" s="1"/>
  <c r="AJ152"/>
  <c r="AW152" s="1"/>
  <c r="AJ153"/>
  <c r="AW153" s="1"/>
  <c r="AJ154"/>
  <c r="AW154" s="1"/>
  <c r="AJ155"/>
  <c r="AW155" s="1"/>
  <c r="AJ156"/>
  <c r="AW156" s="1"/>
  <c r="AJ157"/>
  <c r="AW157" s="1"/>
  <c r="AJ158"/>
  <c r="AW158" s="1"/>
  <c r="AJ159"/>
  <c r="AW159" s="1"/>
  <c r="AJ160"/>
  <c r="AW160" s="1"/>
  <c r="AJ161"/>
  <c r="AW161" s="1"/>
  <c r="AJ162"/>
  <c r="AW162" s="1"/>
  <c r="AJ163"/>
  <c r="AW163" s="1"/>
  <c r="AJ164"/>
  <c r="AW164" s="1"/>
  <c r="AJ165"/>
  <c r="AW165" s="1"/>
  <c r="AJ166"/>
  <c r="AW166" s="1"/>
  <c r="AJ167"/>
  <c r="AW167" s="1"/>
  <c r="AJ168"/>
  <c r="AW168" s="1"/>
  <c r="AJ169"/>
  <c r="AW169" s="1"/>
  <c r="AJ170"/>
  <c r="AW170" s="1"/>
  <c r="AJ171"/>
  <c r="AW171" s="1"/>
  <c r="AJ172"/>
  <c r="AW172" s="1"/>
  <c r="AJ173"/>
  <c r="AW173" s="1"/>
  <c r="AJ174"/>
  <c r="AW174" s="1"/>
  <c r="AJ175"/>
  <c r="AW175" s="1"/>
  <c r="AJ176"/>
  <c r="AW176" s="1"/>
  <c r="AJ177"/>
  <c r="AW177" s="1"/>
  <c r="AJ178"/>
  <c r="AW178" s="1"/>
  <c r="AJ179"/>
  <c r="AW179" s="1"/>
  <c r="AJ180"/>
  <c r="AW180" s="1"/>
  <c r="AJ181"/>
  <c r="AW181" s="1"/>
  <c r="AJ182"/>
  <c r="AW182" s="1"/>
  <c r="AJ183"/>
  <c r="AW183" s="1"/>
  <c r="AJ184"/>
  <c r="AW184" s="1"/>
  <c r="AJ185"/>
  <c r="AW185" s="1"/>
  <c r="AJ186"/>
  <c r="AW186" s="1"/>
  <c r="AJ187"/>
  <c r="AW187" s="1"/>
  <c r="AJ188"/>
  <c r="AW188" s="1"/>
  <c r="AJ189"/>
  <c r="AW189" s="1"/>
  <c r="AJ190"/>
  <c r="AW190" s="1"/>
  <c r="AJ191"/>
  <c r="AW191" s="1"/>
  <c r="AJ192"/>
  <c r="AW192" s="1"/>
  <c r="AJ193"/>
  <c r="AW193" s="1"/>
  <c r="AJ194"/>
  <c r="AW194" s="1"/>
  <c r="AJ195"/>
  <c r="AW195" s="1"/>
  <c r="AJ196"/>
  <c r="AW196" s="1"/>
  <c r="AJ197"/>
  <c r="AW197" s="1"/>
  <c r="AJ198"/>
  <c r="AW198" s="1"/>
  <c r="AJ199"/>
  <c r="AW199" s="1"/>
  <c r="AJ200"/>
  <c r="AW200" s="1"/>
  <c r="AJ201"/>
  <c r="AW201" s="1"/>
  <c r="AJ202"/>
  <c r="AW202" s="1"/>
  <c r="AJ203"/>
  <c r="AW203" s="1"/>
  <c r="AJ204"/>
  <c r="AW204" s="1"/>
  <c r="AJ205"/>
  <c r="AW205" s="1"/>
  <c r="AJ206"/>
  <c r="AW206" s="1"/>
  <c r="AJ207"/>
  <c r="AW207" s="1"/>
  <c r="AJ208"/>
  <c r="AW208" s="1"/>
  <c r="AJ209"/>
  <c r="AW209" s="1"/>
  <c r="AJ210"/>
  <c r="AW210" s="1"/>
  <c r="AJ211"/>
  <c r="AW211" s="1"/>
  <c r="AJ212"/>
  <c r="AW212" s="1"/>
  <c r="AJ213"/>
  <c r="AW213" s="1"/>
  <c r="AJ214"/>
  <c r="AW214" s="1"/>
  <c r="AJ215"/>
  <c r="AW215" s="1"/>
  <c r="AJ216"/>
  <c r="AW216" s="1"/>
  <c r="AJ217"/>
  <c r="AW217" s="1"/>
  <c r="AJ218"/>
  <c r="AW218" s="1"/>
  <c r="AJ219"/>
  <c r="AW219" s="1"/>
  <c r="AJ220"/>
  <c r="AW220" s="1"/>
  <c r="AJ221"/>
  <c r="AW221" s="1"/>
  <c r="AJ222"/>
  <c r="AW222" s="1"/>
  <c r="AJ223"/>
  <c r="AW223" s="1"/>
  <c r="AJ224"/>
  <c r="AW224" s="1"/>
  <c r="AJ225"/>
  <c r="AW225" s="1"/>
  <c r="AI5"/>
  <c r="AV5" s="1"/>
  <c r="AI6"/>
  <c r="AV6" s="1"/>
  <c r="AI7"/>
  <c r="AV7" s="1"/>
  <c r="AI8"/>
  <c r="AV8" s="1"/>
  <c r="AI9"/>
  <c r="AV9" s="1"/>
  <c r="AI10"/>
  <c r="AV10" s="1"/>
  <c r="AI11"/>
  <c r="AV11" s="1"/>
  <c r="AI12"/>
  <c r="AV12" s="1"/>
  <c r="AI13"/>
  <c r="AV13" s="1"/>
  <c r="AI14"/>
  <c r="AV14" s="1"/>
  <c r="AI15"/>
  <c r="AV15" s="1"/>
  <c r="AI16"/>
  <c r="AV16" s="1"/>
  <c r="AI17"/>
  <c r="AV17" s="1"/>
  <c r="AI18"/>
  <c r="AV18" s="1"/>
  <c r="AI19"/>
  <c r="AV19" s="1"/>
  <c r="AI20"/>
  <c r="AV20" s="1"/>
  <c r="AI21"/>
  <c r="AV21" s="1"/>
  <c r="AI22"/>
  <c r="AV22" s="1"/>
  <c r="AI23"/>
  <c r="AV23" s="1"/>
  <c r="AI24"/>
  <c r="AV24" s="1"/>
  <c r="AI25"/>
  <c r="AV25" s="1"/>
  <c r="AI26"/>
  <c r="AV26" s="1"/>
  <c r="AI27"/>
  <c r="AV27" s="1"/>
  <c r="AI28"/>
  <c r="AV28" s="1"/>
  <c r="AI29"/>
  <c r="AV29" s="1"/>
  <c r="AI30"/>
  <c r="AV30" s="1"/>
  <c r="AI31"/>
  <c r="AV31" s="1"/>
  <c r="AI32"/>
  <c r="AV32" s="1"/>
  <c r="AI33"/>
  <c r="AV33" s="1"/>
  <c r="AI34"/>
  <c r="AV34" s="1"/>
  <c r="AI35"/>
  <c r="AV35" s="1"/>
  <c r="AI36"/>
  <c r="AV36" s="1"/>
  <c r="AI37"/>
  <c r="AV37" s="1"/>
  <c r="AI38"/>
  <c r="AV38" s="1"/>
  <c r="AI39"/>
  <c r="AV39" s="1"/>
  <c r="AI40"/>
  <c r="AV40" s="1"/>
  <c r="AI41"/>
  <c r="AV41" s="1"/>
  <c r="AI42"/>
  <c r="AV42" s="1"/>
  <c r="AI43"/>
  <c r="AV43" s="1"/>
  <c r="AI44"/>
  <c r="AV44" s="1"/>
  <c r="AI45"/>
  <c r="AV45" s="1"/>
  <c r="AI46"/>
  <c r="AV46" s="1"/>
  <c r="AI47"/>
  <c r="AV47" s="1"/>
  <c r="AI48"/>
  <c r="AV48" s="1"/>
  <c r="AI49"/>
  <c r="AV49" s="1"/>
  <c r="AI50"/>
  <c r="AV50" s="1"/>
  <c r="AI51"/>
  <c r="AV51" s="1"/>
  <c r="AI52"/>
  <c r="AV52" s="1"/>
  <c r="AI53"/>
  <c r="AV53" s="1"/>
  <c r="AI54"/>
  <c r="AV54" s="1"/>
  <c r="AI55"/>
  <c r="AV55" s="1"/>
  <c r="AI56"/>
  <c r="AV56" s="1"/>
  <c r="AI57"/>
  <c r="AV57" s="1"/>
  <c r="AI58"/>
  <c r="AV58" s="1"/>
  <c r="AI59"/>
  <c r="AV59" s="1"/>
  <c r="AI60"/>
  <c r="AV60" s="1"/>
  <c r="AI61"/>
  <c r="AV61" s="1"/>
  <c r="AI62"/>
  <c r="AV62" s="1"/>
  <c r="AI63"/>
  <c r="AV63" s="1"/>
  <c r="AI64"/>
  <c r="AV64" s="1"/>
  <c r="AI65"/>
  <c r="AV65" s="1"/>
  <c r="AI66"/>
  <c r="AV66" s="1"/>
  <c r="AI67"/>
  <c r="AV67" s="1"/>
  <c r="AI68"/>
  <c r="AV68" s="1"/>
  <c r="AI69"/>
  <c r="AV69" s="1"/>
  <c r="AI70"/>
  <c r="AV70" s="1"/>
  <c r="AI71"/>
  <c r="AV71" s="1"/>
  <c r="AI72"/>
  <c r="AV72" s="1"/>
  <c r="AI73"/>
  <c r="AV73" s="1"/>
  <c r="AI74"/>
  <c r="AV74" s="1"/>
  <c r="AI75"/>
  <c r="AV75" s="1"/>
  <c r="AI76"/>
  <c r="AV76" s="1"/>
  <c r="AI77"/>
  <c r="AV77" s="1"/>
  <c r="AI78"/>
  <c r="AV78" s="1"/>
  <c r="AI79"/>
  <c r="AV79" s="1"/>
  <c r="AI80"/>
  <c r="AV80" s="1"/>
  <c r="AI81"/>
  <c r="AV81" s="1"/>
  <c r="AI82"/>
  <c r="AV82" s="1"/>
  <c r="AI83"/>
  <c r="AV83" s="1"/>
  <c r="AI84"/>
  <c r="AV84" s="1"/>
  <c r="AI85"/>
  <c r="AV85" s="1"/>
  <c r="AI86"/>
  <c r="AV86" s="1"/>
  <c r="AI87"/>
  <c r="AV87" s="1"/>
  <c r="AI88"/>
  <c r="AV88" s="1"/>
  <c r="AI89"/>
  <c r="AV89" s="1"/>
  <c r="AI90"/>
  <c r="AV90" s="1"/>
  <c r="AI91"/>
  <c r="AV91" s="1"/>
  <c r="AI92"/>
  <c r="AV92" s="1"/>
  <c r="AI93"/>
  <c r="AV93" s="1"/>
  <c r="AI94"/>
  <c r="AV94" s="1"/>
  <c r="AI95"/>
  <c r="AV95" s="1"/>
  <c r="AI96"/>
  <c r="AV96" s="1"/>
  <c r="AI97"/>
  <c r="AV97" s="1"/>
  <c r="AI98"/>
  <c r="AV98" s="1"/>
  <c r="AI99"/>
  <c r="AV99" s="1"/>
  <c r="AI100"/>
  <c r="AV100" s="1"/>
  <c r="AI101"/>
  <c r="AV101" s="1"/>
  <c r="AI102"/>
  <c r="AV102" s="1"/>
  <c r="AI103"/>
  <c r="AV103" s="1"/>
  <c r="AI104"/>
  <c r="AV104" s="1"/>
  <c r="AI105"/>
  <c r="AV105" s="1"/>
  <c r="AI106"/>
  <c r="AV106" s="1"/>
  <c r="AI107"/>
  <c r="AV107" s="1"/>
  <c r="AI108"/>
  <c r="AV108" s="1"/>
  <c r="AI109"/>
  <c r="AV109" s="1"/>
  <c r="AI110"/>
  <c r="AV110" s="1"/>
  <c r="AI111"/>
  <c r="AV111" s="1"/>
  <c r="AI112"/>
  <c r="AV112" s="1"/>
  <c r="AI113"/>
  <c r="AV113" s="1"/>
  <c r="AI114"/>
  <c r="AV114" s="1"/>
  <c r="AI115"/>
  <c r="AV115" s="1"/>
  <c r="AI116"/>
  <c r="AV116" s="1"/>
  <c r="AI117"/>
  <c r="AV117" s="1"/>
  <c r="AI118"/>
  <c r="AV118" s="1"/>
  <c r="AI119"/>
  <c r="AV119" s="1"/>
  <c r="AI120"/>
  <c r="AV120" s="1"/>
  <c r="AI121"/>
  <c r="AV121" s="1"/>
  <c r="AI122"/>
  <c r="AV122" s="1"/>
  <c r="AI123"/>
  <c r="AV123" s="1"/>
  <c r="AI124"/>
  <c r="AV124" s="1"/>
  <c r="AI125"/>
  <c r="AV125" s="1"/>
  <c r="AI126"/>
  <c r="AV126" s="1"/>
  <c r="AI127"/>
  <c r="AV127" s="1"/>
  <c r="AI128"/>
  <c r="AV128" s="1"/>
  <c r="AI129"/>
  <c r="AV129" s="1"/>
  <c r="AI130"/>
  <c r="AV130" s="1"/>
  <c r="AI131"/>
  <c r="AV131" s="1"/>
  <c r="AI132"/>
  <c r="AV132" s="1"/>
  <c r="AI133"/>
  <c r="AV133" s="1"/>
  <c r="AI134"/>
  <c r="AV134" s="1"/>
  <c r="AI135"/>
  <c r="AV135" s="1"/>
  <c r="AI136"/>
  <c r="AV136" s="1"/>
  <c r="AI137"/>
  <c r="AV137" s="1"/>
  <c r="AI138"/>
  <c r="AV138" s="1"/>
  <c r="AI139"/>
  <c r="AV139" s="1"/>
  <c r="AI140"/>
  <c r="AV140" s="1"/>
  <c r="AI141"/>
  <c r="AV141" s="1"/>
  <c r="AI142"/>
  <c r="AV142" s="1"/>
  <c r="AI143"/>
  <c r="AV143" s="1"/>
  <c r="AI144"/>
  <c r="AV144" s="1"/>
  <c r="AI145"/>
  <c r="AV145" s="1"/>
  <c r="AI146"/>
  <c r="AV146" s="1"/>
  <c r="AI147"/>
  <c r="AV147" s="1"/>
  <c r="AI148"/>
  <c r="AV148" s="1"/>
  <c r="AI149"/>
  <c r="AV149" s="1"/>
  <c r="AI150"/>
  <c r="AV150" s="1"/>
  <c r="AI151"/>
  <c r="AV151" s="1"/>
  <c r="AI152"/>
  <c r="AV152" s="1"/>
  <c r="AI153"/>
  <c r="AV153" s="1"/>
  <c r="AI154"/>
  <c r="AV154" s="1"/>
  <c r="AI155"/>
  <c r="AV155" s="1"/>
  <c r="AI156"/>
  <c r="AV156" s="1"/>
  <c r="AI157"/>
  <c r="AV157" s="1"/>
  <c r="AI158"/>
  <c r="AV158" s="1"/>
  <c r="AI159"/>
  <c r="AV159" s="1"/>
  <c r="AI160"/>
  <c r="AV160" s="1"/>
  <c r="AI161"/>
  <c r="AV161" s="1"/>
  <c r="AI162"/>
  <c r="AV162" s="1"/>
  <c r="AI163"/>
  <c r="AV163" s="1"/>
  <c r="AI164"/>
  <c r="AV164" s="1"/>
  <c r="AI165"/>
  <c r="AV165" s="1"/>
  <c r="AI166"/>
  <c r="AV166" s="1"/>
  <c r="AI167"/>
  <c r="AV167" s="1"/>
  <c r="AI168"/>
  <c r="AV168" s="1"/>
  <c r="AI169"/>
  <c r="AV169" s="1"/>
  <c r="AI170"/>
  <c r="AV170" s="1"/>
  <c r="AI171"/>
  <c r="AV171" s="1"/>
  <c r="AI172"/>
  <c r="AV172" s="1"/>
  <c r="AI173"/>
  <c r="AV173" s="1"/>
  <c r="AI174"/>
  <c r="AV174" s="1"/>
  <c r="AI175"/>
  <c r="AV175" s="1"/>
  <c r="AI176"/>
  <c r="AV176" s="1"/>
  <c r="AI177"/>
  <c r="AV177" s="1"/>
  <c r="AI178"/>
  <c r="AV178" s="1"/>
  <c r="AI179"/>
  <c r="AV179" s="1"/>
  <c r="AI180"/>
  <c r="AV180" s="1"/>
  <c r="AI181"/>
  <c r="AV181" s="1"/>
  <c r="AI182"/>
  <c r="AV182" s="1"/>
  <c r="AI183"/>
  <c r="AV183" s="1"/>
  <c r="AI184"/>
  <c r="AV184" s="1"/>
  <c r="AI185"/>
  <c r="AV185" s="1"/>
  <c r="AI186"/>
  <c r="AV186" s="1"/>
  <c r="AI187"/>
  <c r="AV187" s="1"/>
  <c r="AI188"/>
  <c r="AV188" s="1"/>
  <c r="AI189"/>
  <c r="AV189" s="1"/>
  <c r="AI190"/>
  <c r="AV190" s="1"/>
  <c r="AI191"/>
  <c r="AV191" s="1"/>
  <c r="AI192"/>
  <c r="AV192" s="1"/>
  <c r="AI193"/>
  <c r="AV193" s="1"/>
  <c r="AI194"/>
  <c r="AV194" s="1"/>
  <c r="AI195"/>
  <c r="AV195" s="1"/>
  <c r="AI196"/>
  <c r="AV196" s="1"/>
  <c r="AI197"/>
  <c r="AV197" s="1"/>
  <c r="AI198"/>
  <c r="AV198" s="1"/>
  <c r="AI199"/>
  <c r="AV199" s="1"/>
  <c r="AI200"/>
  <c r="AV200" s="1"/>
  <c r="AI201"/>
  <c r="AV201" s="1"/>
  <c r="AI202"/>
  <c r="AV202" s="1"/>
  <c r="AI203"/>
  <c r="AV203" s="1"/>
  <c r="AI204"/>
  <c r="AV204" s="1"/>
  <c r="AI205"/>
  <c r="AV205" s="1"/>
  <c r="AI206"/>
  <c r="AV206" s="1"/>
  <c r="AI207"/>
  <c r="AV207" s="1"/>
  <c r="AI208"/>
  <c r="AV208" s="1"/>
  <c r="AI209"/>
  <c r="AV209" s="1"/>
  <c r="AI210"/>
  <c r="AV210" s="1"/>
  <c r="AI211"/>
  <c r="AV211" s="1"/>
  <c r="AI212"/>
  <c r="AV212" s="1"/>
  <c r="AI213"/>
  <c r="AV213" s="1"/>
  <c r="AI214"/>
  <c r="AV214" s="1"/>
  <c r="AI215"/>
  <c r="AV215" s="1"/>
  <c r="AI216"/>
  <c r="AV216" s="1"/>
  <c r="AI217"/>
  <c r="AV217" s="1"/>
  <c r="AI218"/>
  <c r="AV218" s="1"/>
  <c r="AI219"/>
  <c r="AV219" s="1"/>
  <c r="AI220"/>
  <c r="AV220" s="1"/>
  <c r="AI221"/>
  <c r="AV221" s="1"/>
  <c r="AI222"/>
  <c r="AV222" s="1"/>
  <c r="AI223"/>
  <c r="AV223" s="1"/>
  <c r="AI224"/>
  <c r="AV224" s="1"/>
  <c r="AI225"/>
  <c r="AV225" s="1"/>
  <c r="AH5"/>
  <c r="AU5" s="1"/>
  <c r="AH6"/>
  <c r="AU6" s="1"/>
  <c r="AH7"/>
  <c r="AU7" s="1"/>
  <c r="AH8"/>
  <c r="AU8" s="1"/>
  <c r="AH9"/>
  <c r="AU9" s="1"/>
  <c r="AH10"/>
  <c r="AU10" s="1"/>
  <c r="AH11"/>
  <c r="AU11" s="1"/>
  <c r="AH12"/>
  <c r="AU12" s="1"/>
  <c r="AH13"/>
  <c r="AU13" s="1"/>
  <c r="AH14"/>
  <c r="AU14" s="1"/>
  <c r="AH15"/>
  <c r="AU15" s="1"/>
  <c r="AH16"/>
  <c r="AU16" s="1"/>
  <c r="AH17"/>
  <c r="AU17" s="1"/>
  <c r="AH18"/>
  <c r="AU18" s="1"/>
  <c r="AH19"/>
  <c r="AU19" s="1"/>
  <c r="AH20"/>
  <c r="AU20" s="1"/>
  <c r="AH21"/>
  <c r="AU21" s="1"/>
  <c r="AH22"/>
  <c r="AU22" s="1"/>
  <c r="AH23"/>
  <c r="AU23" s="1"/>
  <c r="AH24"/>
  <c r="AU24" s="1"/>
  <c r="AH25"/>
  <c r="AU25" s="1"/>
  <c r="AH26"/>
  <c r="AU26" s="1"/>
  <c r="AH27"/>
  <c r="AU27" s="1"/>
  <c r="AH28"/>
  <c r="AU28" s="1"/>
  <c r="AH29"/>
  <c r="AU29" s="1"/>
  <c r="AH30"/>
  <c r="AU30" s="1"/>
  <c r="AH31"/>
  <c r="AU31" s="1"/>
  <c r="AH32"/>
  <c r="AU32" s="1"/>
  <c r="AH33"/>
  <c r="AU33" s="1"/>
  <c r="AH34"/>
  <c r="AU34" s="1"/>
  <c r="AH35"/>
  <c r="AU35" s="1"/>
  <c r="AH36"/>
  <c r="AU36" s="1"/>
  <c r="AH37"/>
  <c r="AU37" s="1"/>
  <c r="AH38"/>
  <c r="AU38" s="1"/>
  <c r="AH39"/>
  <c r="AU39" s="1"/>
  <c r="AH40"/>
  <c r="AU40" s="1"/>
  <c r="AH41"/>
  <c r="AU41" s="1"/>
  <c r="AH42"/>
  <c r="AU42" s="1"/>
  <c r="AH43"/>
  <c r="AU43" s="1"/>
  <c r="AH44"/>
  <c r="AU44" s="1"/>
  <c r="AH45"/>
  <c r="AU45" s="1"/>
  <c r="AH46"/>
  <c r="AU46" s="1"/>
  <c r="AH47"/>
  <c r="AU47" s="1"/>
  <c r="AH48"/>
  <c r="AU48" s="1"/>
  <c r="AH49"/>
  <c r="AU49" s="1"/>
  <c r="AH50"/>
  <c r="AU50" s="1"/>
  <c r="AH51"/>
  <c r="AU51" s="1"/>
  <c r="AH52"/>
  <c r="AU52" s="1"/>
  <c r="AH53"/>
  <c r="AU53" s="1"/>
  <c r="AH54"/>
  <c r="AU54" s="1"/>
  <c r="AH55"/>
  <c r="AU55" s="1"/>
  <c r="AH56"/>
  <c r="AU56" s="1"/>
  <c r="AH57"/>
  <c r="AU57" s="1"/>
  <c r="AH58"/>
  <c r="AU58" s="1"/>
  <c r="AH59"/>
  <c r="AU59" s="1"/>
  <c r="AH60"/>
  <c r="AU60" s="1"/>
  <c r="AH61"/>
  <c r="AU61" s="1"/>
  <c r="AH62"/>
  <c r="AU62" s="1"/>
  <c r="AH63"/>
  <c r="AU63" s="1"/>
  <c r="AH64"/>
  <c r="AU64" s="1"/>
  <c r="AH65"/>
  <c r="AU65" s="1"/>
  <c r="AH66"/>
  <c r="AU66" s="1"/>
  <c r="AH67"/>
  <c r="AU67" s="1"/>
  <c r="AH68"/>
  <c r="AU68" s="1"/>
  <c r="AH69"/>
  <c r="AU69" s="1"/>
  <c r="AH70"/>
  <c r="AU70" s="1"/>
  <c r="AH71"/>
  <c r="AU71" s="1"/>
  <c r="AH72"/>
  <c r="AU72" s="1"/>
  <c r="AH73"/>
  <c r="AU73" s="1"/>
  <c r="AH74"/>
  <c r="AU74" s="1"/>
  <c r="AH75"/>
  <c r="AU75" s="1"/>
  <c r="AH76"/>
  <c r="AU76" s="1"/>
  <c r="AH77"/>
  <c r="AU77" s="1"/>
  <c r="AH78"/>
  <c r="AU78" s="1"/>
  <c r="AH79"/>
  <c r="AU79" s="1"/>
  <c r="AH80"/>
  <c r="AU80" s="1"/>
  <c r="AH81"/>
  <c r="AU81" s="1"/>
  <c r="AH82"/>
  <c r="AU82" s="1"/>
  <c r="AH83"/>
  <c r="AU83" s="1"/>
  <c r="AH84"/>
  <c r="AU84" s="1"/>
  <c r="AH85"/>
  <c r="AU85" s="1"/>
  <c r="AH86"/>
  <c r="AU86" s="1"/>
  <c r="AH87"/>
  <c r="AU87" s="1"/>
  <c r="AH88"/>
  <c r="AU88" s="1"/>
  <c r="AH89"/>
  <c r="AU89" s="1"/>
  <c r="AH90"/>
  <c r="AU90" s="1"/>
  <c r="AH91"/>
  <c r="AU91" s="1"/>
  <c r="AH92"/>
  <c r="AU92" s="1"/>
  <c r="AH93"/>
  <c r="AU93" s="1"/>
  <c r="AH94"/>
  <c r="AU94" s="1"/>
  <c r="AH95"/>
  <c r="AU95" s="1"/>
  <c r="AH96"/>
  <c r="AU96" s="1"/>
  <c r="AH97"/>
  <c r="AU97" s="1"/>
  <c r="AH98"/>
  <c r="AU98" s="1"/>
  <c r="AH99"/>
  <c r="AU99" s="1"/>
  <c r="AH100"/>
  <c r="AU100" s="1"/>
  <c r="AH101"/>
  <c r="AU101" s="1"/>
  <c r="AH102"/>
  <c r="AU102" s="1"/>
  <c r="AH103"/>
  <c r="AU103" s="1"/>
  <c r="AH104"/>
  <c r="AU104" s="1"/>
  <c r="AH105"/>
  <c r="AU105" s="1"/>
  <c r="AH106"/>
  <c r="AU106" s="1"/>
  <c r="AH107"/>
  <c r="AU107" s="1"/>
  <c r="AH108"/>
  <c r="AU108" s="1"/>
  <c r="AH109"/>
  <c r="AU109" s="1"/>
  <c r="AH110"/>
  <c r="AU110" s="1"/>
  <c r="AH111"/>
  <c r="AU111" s="1"/>
  <c r="AH112"/>
  <c r="AU112" s="1"/>
  <c r="AH113"/>
  <c r="AU113" s="1"/>
  <c r="AH114"/>
  <c r="AU114" s="1"/>
  <c r="AH115"/>
  <c r="AU115" s="1"/>
  <c r="AH116"/>
  <c r="AU116" s="1"/>
  <c r="AH117"/>
  <c r="AU117" s="1"/>
  <c r="AH118"/>
  <c r="AU118" s="1"/>
  <c r="AH119"/>
  <c r="AU119" s="1"/>
  <c r="AH120"/>
  <c r="AU120" s="1"/>
  <c r="AH121"/>
  <c r="AU121" s="1"/>
  <c r="AH122"/>
  <c r="AU122" s="1"/>
  <c r="AH123"/>
  <c r="AU123" s="1"/>
  <c r="AH124"/>
  <c r="AU124" s="1"/>
  <c r="AH125"/>
  <c r="AU125" s="1"/>
  <c r="AH126"/>
  <c r="AU126" s="1"/>
  <c r="AH127"/>
  <c r="AU127" s="1"/>
  <c r="AH128"/>
  <c r="AU128" s="1"/>
  <c r="AH129"/>
  <c r="AU129" s="1"/>
  <c r="AH130"/>
  <c r="AU130" s="1"/>
  <c r="AH131"/>
  <c r="AU131" s="1"/>
  <c r="AH132"/>
  <c r="AU132" s="1"/>
  <c r="AH133"/>
  <c r="AU133" s="1"/>
  <c r="AH134"/>
  <c r="AU134" s="1"/>
  <c r="AH135"/>
  <c r="AU135" s="1"/>
  <c r="AH136"/>
  <c r="AU136" s="1"/>
  <c r="AH137"/>
  <c r="AU137" s="1"/>
  <c r="AH138"/>
  <c r="AU138" s="1"/>
  <c r="AH139"/>
  <c r="AU139" s="1"/>
  <c r="AH140"/>
  <c r="AU140" s="1"/>
  <c r="AH141"/>
  <c r="AU141" s="1"/>
  <c r="AH142"/>
  <c r="AU142" s="1"/>
  <c r="AH143"/>
  <c r="AU143" s="1"/>
  <c r="AH144"/>
  <c r="AU144" s="1"/>
  <c r="AH145"/>
  <c r="AU145" s="1"/>
  <c r="AH146"/>
  <c r="AU146" s="1"/>
  <c r="AH147"/>
  <c r="AU147" s="1"/>
  <c r="AH148"/>
  <c r="AU148" s="1"/>
  <c r="AH149"/>
  <c r="AU149" s="1"/>
  <c r="AH150"/>
  <c r="AU150" s="1"/>
  <c r="AH151"/>
  <c r="AU151" s="1"/>
  <c r="AH152"/>
  <c r="AU152" s="1"/>
  <c r="AH153"/>
  <c r="AU153" s="1"/>
  <c r="AH154"/>
  <c r="AU154" s="1"/>
  <c r="AH155"/>
  <c r="AU155" s="1"/>
  <c r="AH156"/>
  <c r="AU156" s="1"/>
  <c r="AH157"/>
  <c r="AU157" s="1"/>
  <c r="AH158"/>
  <c r="AU158" s="1"/>
  <c r="AH159"/>
  <c r="AU159" s="1"/>
  <c r="AH160"/>
  <c r="AU160" s="1"/>
  <c r="AH161"/>
  <c r="AU161" s="1"/>
  <c r="AH162"/>
  <c r="AU162" s="1"/>
  <c r="AH163"/>
  <c r="AU163" s="1"/>
  <c r="AH164"/>
  <c r="AU164" s="1"/>
  <c r="AH165"/>
  <c r="AU165" s="1"/>
  <c r="AH166"/>
  <c r="AU166" s="1"/>
  <c r="AH167"/>
  <c r="AU167" s="1"/>
  <c r="AH168"/>
  <c r="AU168" s="1"/>
  <c r="AH169"/>
  <c r="AU169" s="1"/>
  <c r="AH170"/>
  <c r="AU170" s="1"/>
  <c r="AH171"/>
  <c r="AU171" s="1"/>
  <c r="AH172"/>
  <c r="AU172" s="1"/>
  <c r="AH173"/>
  <c r="AU173" s="1"/>
  <c r="AH174"/>
  <c r="AU174" s="1"/>
  <c r="AH175"/>
  <c r="AU175" s="1"/>
  <c r="AH176"/>
  <c r="AU176" s="1"/>
  <c r="AH177"/>
  <c r="AU177" s="1"/>
  <c r="AH178"/>
  <c r="AU178" s="1"/>
  <c r="AH179"/>
  <c r="AU179" s="1"/>
  <c r="AH180"/>
  <c r="AU180" s="1"/>
  <c r="AH181"/>
  <c r="AU181" s="1"/>
  <c r="AH182"/>
  <c r="AU182" s="1"/>
  <c r="AH183"/>
  <c r="AU183" s="1"/>
  <c r="AH184"/>
  <c r="AU184" s="1"/>
  <c r="AH185"/>
  <c r="AU185" s="1"/>
  <c r="AH186"/>
  <c r="AU186" s="1"/>
  <c r="AH187"/>
  <c r="AU187" s="1"/>
  <c r="AH188"/>
  <c r="AU188" s="1"/>
  <c r="AH189"/>
  <c r="AU189" s="1"/>
  <c r="AH190"/>
  <c r="AU190" s="1"/>
  <c r="AH191"/>
  <c r="AU191" s="1"/>
  <c r="AH192"/>
  <c r="AU192" s="1"/>
  <c r="AH193"/>
  <c r="AU193" s="1"/>
  <c r="AH194"/>
  <c r="AU194" s="1"/>
  <c r="AH195"/>
  <c r="AU195" s="1"/>
  <c r="AH196"/>
  <c r="AU196" s="1"/>
  <c r="AH197"/>
  <c r="AU197" s="1"/>
  <c r="AH198"/>
  <c r="AU198" s="1"/>
  <c r="AH199"/>
  <c r="AU199" s="1"/>
  <c r="AH200"/>
  <c r="AU200" s="1"/>
  <c r="AH201"/>
  <c r="AU201" s="1"/>
  <c r="AH202"/>
  <c r="AU202" s="1"/>
  <c r="AH203"/>
  <c r="AU203" s="1"/>
  <c r="AH204"/>
  <c r="AU204" s="1"/>
  <c r="AH205"/>
  <c r="AU205" s="1"/>
  <c r="AH206"/>
  <c r="AU206" s="1"/>
  <c r="AH207"/>
  <c r="AU207" s="1"/>
  <c r="AH208"/>
  <c r="AU208" s="1"/>
  <c r="AH209"/>
  <c r="AU209" s="1"/>
  <c r="AH210"/>
  <c r="AU210" s="1"/>
  <c r="AH211"/>
  <c r="AU211" s="1"/>
  <c r="AH212"/>
  <c r="AU212" s="1"/>
  <c r="AH213"/>
  <c r="AU213" s="1"/>
  <c r="AH214"/>
  <c r="AU214" s="1"/>
  <c r="AH215"/>
  <c r="AU215" s="1"/>
  <c r="AH216"/>
  <c r="AU216" s="1"/>
  <c r="AH217"/>
  <c r="AU217" s="1"/>
  <c r="AH218"/>
  <c r="AU218" s="1"/>
  <c r="AH219"/>
  <c r="AU219" s="1"/>
  <c r="AH220"/>
  <c r="AU220" s="1"/>
  <c r="AH221"/>
  <c r="AU221" s="1"/>
  <c r="AH222"/>
  <c r="AU222" s="1"/>
  <c r="AH223"/>
  <c r="AU223" s="1"/>
  <c r="AH224"/>
  <c r="AU224" s="1"/>
  <c r="AH225"/>
  <c r="AU225" s="1"/>
  <c r="AG5"/>
  <c r="AT5" s="1"/>
  <c r="AG6"/>
  <c r="AT6" s="1"/>
  <c r="AG7"/>
  <c r="AT7" s="1"/>
  <c r="AG8"/>
  <c r="AT8" s="1"/>
  <c r="AG9"/>
  <c r="AT9" s="1"/>
  <c r="AG10"/>
  <c r="AT10" s="1"/>
  <c r="AG11"/>
  <c r="AT11" s="1"/>
  <c r="AG12"/>
  <c r="AT12" s="1"/>
  <c r="AG13"/>
  <c r="AT13" s="1"/>
  <c r="AG14"/>
  <c r="AT14" s="1"/>
  <c r="AG15"/>
  <c r="AT15" s="1"/>
  <c r="AG16"/>
  <c r="AT16" s="1"/>
  <c r="AG17"/>
  <c r="AT17" s="1"/>
  <c r="AG18"/>
  <c r="AT18" s="1"/>
  <c r="AG19"/>
  <c r="AT19" s="1"/>
  <c r="AG20"/>
  <c r="AT20" s="1"/>
  <c r="AG21"/>
  <c r="AT21" s="1"/>
  <c r="AG22"/>
  <c r="AT22" s="1"/>
  <c r="AG23"/>
  <c r="AT23" s="1"/>
  <c r="AG24"/>
  <c r="AT24" s="1"/>
  <c r="AG25"/>
  <c r="AT25" s="1"/>
  <c r="AG26"/>
  <c r="AT26" s="1"/>
  <c r="AG27"/>
  <c r="AT27" s="1"/>
  <c r="AG28"/>
  <c r="AT28" s="1"/>
  <c r="AG29"/>
  <c r="AT29" s="1"/>
  <c r="AG30"/>
  <c r="AT30" s="1"/>
  <c r="AG31"/>
  <c r="AT31" s="1"/>
  <c r="AG32"/>
  <c r="AT32" s="1"/>
  <c r="AG33"/>
  <c r="AT33" s="1"/>
  <c r="AG34"/>
  <c r="AT34" s="1"/>
  <c r="AG35"/>
  <c r="AT35" s="1"/>
  <c r="AG36"/>
  <c r="AT36" s="1"/>
  <c r="AG37"/>
  <c r="AT37" s="1"/>
  <c r="AG38"/>
  <c r="AT38" s="1"/>
  <c r="AG39"/>
  <c r="AT39" s="1"/>
  <c r="AG40"/>
  <c r="AT40" s="1"/>
  <c r="AG41"/>
  <c r="AT41" s="1"/>
  <c r="AG42"/>
  <c r="AT42" s="1"/>
  <c r="AG43"/>
  <c r="AT43" s="1"/>
  <c r="AG44"/>
  <c r="AT44" s="1"/>
  <c r="AG45"/>
  <c r="AT45" s="1"/>
  <c r="AG46"/>
  <c r="AT46" s="1"/>
  <c r="AG47"/>
  <c r="AT47" s="1"/>
  <c r="AG48"/>
  <c r="AT48" s="1"/>
  <c r="AG49"/>
  <c r="AT49" s="1"/>
  <c r="AG50"/>
  <c r="AT50" s="1"/>
  <c r="AG51"/>
  <c r="AT51" s="1"/>
  <c r="AG52"/>
  <c r="AT52" s="1"/>
  <c r="AG53"/>
  <c r="AT53" s="1"/>
  <c r="AG54"/>
  <c r="AT54" s="1"/>
  <c r="AG55"/>
  <c r="AT55" s="1"/>
  <c r="AG56"/>
  <c r="AT56" s="1"/>
  <c r="AG57"/>
  <c r="AT57" s="1"/>
  <c r="AG58"/>
  <c r="AT58" s="1"/>
  <c r="AG59"/>
  <c r="AT59" s="1"/>
  <c r="AG60"/>
  <c r="AT60" s="1"/>
  <c r="AG61"/>
  <c r="AT61" s="1"/>
  <c r="AG62"/>
  <c r="AT62" s="1"/>
  <c r="AG63"/>
  <c r="AT63" s="1"/>
  <c r="AG64"/>
  <c r="AT64" s="1"/>
  <c r="AG65"/>
  <c r="AT65" s="1"/>
  <c r="AG66"/>
  <c r="AT66" s="1"/>
  <c r="AG67"/>
  <c r="AT67" s="1"/>
  <c r="AG68"/>
  <c r="AT68" s="1"/>
  <c r="AG69"/>
  <c r="AT69" s="1"/>
  <c r="AG70"/>
  <c r="AT70" s="1"/>
  <c r="AG71"/>
  <c r="AT71" s="1"/>
  <c r="AG72"/>
  <c r="AT72" s="1"/>
  <c r="AG73"/>
  <c r="AT73" s="1"/>
  <c r="AG74"/>
  <c r="AT74" s="1"/>
  <c r="AG75"/>
  <c r="AT75" s="1"/>
  <c r="AG76"/>
  <c r="AT76" s="1"/>
  <c r="AG77"/>
  <c r="AT77" s="1"/>
  <c r="AG78"/>
  <c r="AT78" s="1"/>
  <c r="AG79"/>
  <c r="AT79" s="1"/>
  <c r="AG80"/>
  <c r="AT80" s="1"/>
  <c r="AG81"/>
  <c r="AT81" s="1"/>
  <c r="AG82"/>
  <c r="AT82" s="1"/>
  <c r="AG83"/>
  <c r="AT83" s="1"/>
  <c r="AG84"/>
  <c r="AT84" s="1"/>
  <c r="AG85"/>
  <c r="AT85" s="1"/>
  <c r="AG86"/>
  <c r="AT86" s="1"/>
  <c r="AG87"/>
  <c r="AT87" s="1"/>
  <c r="AG88"/>
  <c r="AT88" s="1"/>
  <c r="AG89"/>
  <c r="AT89" s="1"/>
  <c r="AG90"/>
  <c r="AT90" s="1"/>
  <c r="AG91"/>
  <c r="AT91" s="1"/>
  <c r="AG92"/>
  <c r="AT92" s="1"/>
  <c r="AG93"/>
  <c r="AT93" s="1"/>
  <c r="AG94"/>
  <c r="AT94" s="1"/>
  <c r="AG95"/>
  <c r="AT95" s="1"/>
  <c r="AG96"/>
  <c r="AT96" s="1"/>
  <c r="AG97"/>
  <c r="AT97" s="1"/>
  <c r="AG98"/>
  <c r="AT98" s="1"/>
  <c r="AG99"/>
  <c r="AT99" s="1"/>
  <c r="AG100"/>
  <c r="AT100" s="1"/>
  <c r="AG101"/>
  <c r="AT101" s="1"/>
  <c r="AG102"/>
  <c r="AT102" s="1"/>
  <c r="AG103"/>
  <c r="AT103" s="1"/>
  <c r="AG104"/>
  <c r="AT104" s="1"/>
  <c r="AG105"/>
  <c r="AT105" s="1"/>
  <c r="AG106"/>
  <c r="AT106" s="1"/>
  <c r="AG107"/>
  <c r="AT107" s="1"/>
  <c r="AG108"/>
  <c r="AT108" s="1"/>
  <c r="AG109"/>
  <c r="AT109" s="1"/>
  <c r="AG110"/>
  <c r="AT110" s="1"/>
  <c r="AG111"/>
  <c r="AT111" s="1"/>
  <c r="AG112"/>
  <c r="AT112" s="1"/>
  <c r="AG113"/>
  <c r="AT113" s="1"/>
  <c r="AG114"/>
  <c r="AT114" s="1"/>
  <c r="AG115"/>
  <c r="AT115" s="1"/>
  <c r="AG116"/>
  <c r="AT116" s="1"/>
  <c r="AG117"/>
  <c r="AT117" s="1"/>
  <c r="AG118"/>
  <c r="AT118" s="1"/>
  <c r="AG119"/>
  <c r="AT119" s="1"/>
  <c r="AG120"/>
  <c r="AT120" s="1"/>
  <c r="AG121"/>
  <c r="AT121" s="1"/>
  <c r="AG122"/>
  <c r="AT122" s="1"/>
  <c r="AG123"/>
  <c r="AT123" s="1"/>
  <c r="AG124"/>
  <c r="AT124" s="1"/>
  <c r="AG125"/>
  <c r="AT125" s="1"/>
  <c r="AG126"/>
  <c r="AT126" s="1"/>
  <c r="AG127"/>
  <c r="AT127" s="1"/>
  <c r="AG128"/>
  <c r="AT128" s="1"/>
  <c r="AG129"/>
  <c r="AT129" s="1"/>
  <c r="AG130"/>
  <c r="AT130" s="1"/>
  <c r="AG131"/>
  <c r="AT131" s="1"/>
  <c r="AG132"/>
  <c r="AT132" s="1"/>
  <c r="AG133"/>
  <c r="AT133" s="1"/>
  <c r="AG134"/>
  <c r="AT134" s="1"/>
  <c r="AG135"/>
  <c r="AT135" s="1"/>
  <c r="AG136"/>
  <c r="AT136" s="1"/>
  <c r="AG137"/>
  <c r="AT137" s="1"/>
  <c r="AG138"/>
  <c r="AT138" s="1"/>
  <c r="AG139"/>
  <c r="AT139" s="1"/>
  <c r="AG140"/>
  <c r="AT140" s="1"/>
  <c r="AG141"/>
  <c r="AT141" s="1"/>
  <c r="AG142"/>
  <c r="AT142" s="1"/>
  <c r="AG143"/>
  <c r="AT143" s="1"/>
  <c r="AG144"/>
  <c r="AT144" s="1"/>
  <c r="AG145"/>
  <c r="AT145" s="1"/>
  <c r="AG146"/>
  <c r="AT146" s="1"/>
  <c r="AG147"/>
  <c r="AT147" s="1"/>
  <c r="AG148"/>
  <c r="AT148" s="1"/>
  <c r="AG149"/>
  <c r="AT149" s="1"/>
  <c r="AG150"/>
  <c r="AT150" s="1"/>
  <c r="AG151"/>
  <c r="AT151" s="1"/>
  <c r="AG152"/>
  <c r="AT152" s="1"/>
  <c r="AG153"/>
  <c r="AT153" s="1"/>
  <c r="AG154"/>
  <c r="AT154" s="1"/>
  <c r="AG155"/>
  <c r="AT155" s="1"/>
  <c r="AG156"/>
  <c r="AT156" s="1"/>
  <c r="AG157"/>
  <c r="AT157" s="1"/>
  <c r="AG158"/>
  <c r="AT158" s="1"/>
  <c r="AG159"/>
  <c r="AT159" s="1"/>
  <c r="AG160"/>
  <c r="AT160" s="1"/>
  <c r="AG161"/>
  <c r="AT161" s="1"/>
  <c r="AG162"/>
  <c r="AT162" s="1"/>
  <c r="AG163"/>
  <c r="AT163" s="1"/>
  <c r="AG164"/>
  <c r="AT164" s="1"/>
  <c r="AG165"/>
  <c r="AT165" s="1"/>
  <c r="AG166"/>
  <c r="AT166" s="1"/>
  <c r="AG167"/>
  <c r="AT167" s="1"/>
  <c r="AG168"/>
  <c r="AT168" s="1"/>
  <c r="AG169"/>
  <c r="AT169" s="1"/>
  <c r="AG170"/>
  <c r="AT170" s="1"/>
  <c r="AG171"/>
  <c r="AT171" s="1"/>
  <c r="AG172"/>
  <c r="AT172" s="1"/>
  <c r="AG173"/>
  <c r="AT173" s="1"/>
  <c r="AG174"/>
  <c r="AT174" s="1"/>
  <c r="AG175"/>
  <c r="AT175" s="1"/>
  <c r="AG176"/>
  <c r="AT176" s="1"/>
  <c r="AG177"/>
  <c r="AT177" s="1"/>
  <c r="AG178"/>
  <c r="AT178" s="1"/>
  <c r="AG179"/>
  <c r="AT179" s="1"/>
  <c r="AG180"/>
  <c r="AT180" s="1"/>
  <c r="AG181"/>
  <c r="AT181" s="1"/>
  <c r="AG182"/>
  <c r="AT182" s="1"/>
  <c r="AG183"/>
  <c r="AT183" s="1"/>
  <c r="AG184"/>
  <c r="AT184" s="1"/>
  <c r="AG185"/>
  <c r="AT185" s="1"/>
  <c r="AG186"/>
  <c r="AT186" s="1"/>
  <c r="AG187"/>
  <c r="AT187" s="1"/>
  <c r="AG188"/>
  <c r="AT188" s="1"/>
  <c r="AG189"/>
  <c r="AT189" s="1"/>
  <c r="AG190"/>
  <c r="AT190" s="1"/>
  <c r="AG191"/>
  <c r="AT191" s="1"/>
  <c r="AG192"/>
  <c r="AT192" s="1"/>
  <c r="AG193"/>
  <c r="AT193" s="1"/>
  <c r="AG194"/>
  <c r="AT194" s="1"/>
  <c r="AG195"/>
  <c r="AT195" s="1"/>
  <c r="AG196"/>
  <c r="AT196" s="1"/>
  <c r="AG197"/>
  <c r="AT197" s="1"/>
  <c r="AG198"/>
  <c r="AT198" s="1"/>
  <c r="AG199"/>
  <c r="AT199" s="1"/>
  <c r="AG200"/>
  <c r="AT200" s="1"/>
  <c r="AG201"/>
  <c r="AT201" s="1"/>
  <c r="AG202"/>
  <c r="AT202" s="1"/>
  <c r="AG203"/>
  <c r="AT203" s="1"/>
  <c r="AG204"/>
  <c r="AT204" s="1"/>
  <c r="AG205"/>
  <c r="AT205" s="1"/>
  <c r="AG206"/>
  <c r="AT206" s="1"/>
  <c r="AG207"/>
  <c r="AT207" s="1"/>
  <c r="AG208"/>
  <c r="AT208" s="1"/>
  <c r="AG209"/>
  <c r="AT209" s="1"/>
  <c r="AG210"/>
  <c r="AT210" s="1"/>
  <c r="AG211"/>
  <c r="AT211" s="1"/>
  <c r="AG212"/>
  <c r="AT212" s="1"/>
  <c r="AG213"/>
  <c r="AT213" s="1"/>
  <c r="AG214"/>
  <c r="AT214" s="1"/>
  <c r="AG215"/>
  <c r="AT215" s="1"/>
  <c r="AG216"/>
  <c r="AT216" s="1"/>
  <c r="AG217"/>
  <c r="AT217" s="1"/>
  <c r="AG218"/>
  <c r="AT218" s="1"/>
  <c r="AG219"/>
  <c r="AT219" s="1"/>
  <c r="AG220"/>
  <c r="AT220" s="1"/>
  <c r="AG221"/>
  <c r="AT221" s="1"/>
  <c r="AG222"/>
  <c r="AT222" s="1"/>
  <c r="AG223"/>
  <c r="AT223" s="1"/>
  <c r="AG224"/>
  <c r="AT224" s="1"/>
  <c r="AG225"/>
  <c r="AT225" s="1"/>
  <c r="AF5"/>
  <c r="AS5" s="1"/>
  <c r="AF6"/>
  <c r="AS6" s="1"/>
  <c r="AF7"/>
  <c r="AS7" s="1"/>
  <c r="AF8"/>
  <c r="AS8" s="1"/>
  <c r="AF9"/>
  <c r="AS9" s="1"/>
  <c r="AF10"/>
  <c r="AS10" s="1"/>
  <c r="AF11"/>
  <c r="AS11" s="1"/>
  <c r="AF12"/>
  <c r="AS12" s="1"/>
  <c r="AF13"/>
  <c r="AS13" s="1"/>
  <c r="AF14"/>
  <c r="AS14" s="1"/>
  <c r="AF15"/>
  <c r="AS15" s="1"/>
  <c r="AF16"/>
  <c r="AS16" s="1"/>
  <c r="AF17"/>
  <c r="AS17" s="1"/>
  <c r="AF18"/>
  <c r="AS18" s="1"/>
  <c r="AF19"/>
  <c r="AS19" s="1"/>
  <c r="AF20"/>
  <c r="AS20" s="1"/>
  <c r="AF21"/>
  <c r="AS21" s="1"/>
  <c r="AF22"/>
  <c r="AS22" s="1"/>
  <c r="AF23"/>
  <c r="AS23" s="1"/>
  <c r="AF24"/>
  <c r="AS24" s="1"/>
  <c r="AF25"/>
  <c r="AS25" s="1"/>
  <c r="AF26"/>
  <c r="AS26" s="1"/>
  <c r="AF27"/>
  <c r="AS27" s="1"/>
  <c r="AF28"/>
  <c r="AS28" s="1"/>
  <c r="AF29"/>
  <c r="AS29" s="1"/>
  <c r="AF30"/>
  <c r="AS30" s="1"/>
  <c r="AF31"/>
  <c r="AS31" s="1"/>
  <c r="AF32"/>
  <c r="AS32" s="1"/>
  <c r="AF33"/>
  <c r="AS33" s="1"/>
  <c r="AF34"/>
  <c r="AS34" s="1"/>
  <c r="AF35"/>
  <c r="AS35" s="1"/>
  <c r="AF36"/>
  <c r="AS36" s="1"/>
  <c r="AF37"/>
  <c r="AS37" s="1"/>
  <c r="AF38"/>
  <c r="AS38" s="1"/>
  <c r="AF39"/>
  <c r="AS39" s="1"/>
  <c r="AF40"/>
  <c r="AS40" s="1"/>
  <c r="AF41"/>
  <c r="AS41" s="1"/>
  <c r="AF42"/>
  <c r="AS42" s="1"/>
  <c r="AF43"/>
  <c r="AS43" s="1"/>
  <c r="AF44"/>
  <c r="AS44" s="1"/>
  <c r="AF45"/>
  <c r="AS45" s="1"/>
  <c r="AF46"/>
  <c r="AS46" s="1"/>
  <c r="AF47"/>
  <c r="AS47" s="1"/>
  <c r="AF48"/>
  <c r="AS48" s="1"/>
  <c r="AF49"/>
  <c r="AS49" s="1"/>
  <c r="AF50"/>
  <c r="AS50" s="1"/>
  <c r="AF51"/>
  <c r="AS51" s="1"/>
  <c r="AF52"/>
  <c r="AS52" s="1"/>
  <c r="AF53"/>
  <c r="AS53" s="1"/>
  <c r="AF54"/>
  <c r="AS54" s="1"/>
  <c r="AF55"/>
  <c r="AS55" s="1"/>
  <c r="AF56"/>
  <c r="AS56" s="1"/>
  <c r="AF57"/>
  <c r="AS57" s="1"/>
  <c r="AF58"/>
  <c r="AS58" s="1"/>
  <c r="AF59"/>
  <c r="AS59" s="1"/>
  <c r="AF60"/>
  <c r="AS60" s="1"/>
  <c r="AF61"/>
  <c r="AS61" s="1"/>
  <c r="AF62"/>
  <c r="AS62" s="1"/>
  <c r="AF63"/>
  <c r="AS63" s="1"/>
  <c r="AF64"/>
  <c r="AS64" s="1"/>
  <c r="AF65"/>
  <c r="AS65" s="1"/>
  <c r="AF66"/>
  <c r="AS66" s="1"/>
  <c r="AF67"/>
  <c r="AS67" s="1"/>
  <c r="AF68"/>
  <c r="AS68" s="1"/>
  <c r="AF69"/>
  <c r="AS69" s="1"/>
  <c r="AF70"/>
  <c r="AS70" s="1"/>
  <c r="AF71"/>
  <c r="AS71" s="1"/>
  <c r="AF72"/>
  <c r="AS72" s="1"/>
  <c r="AF73"/>
  <c r="AS73" s="1"/>
  <c r="AF74"/>
  <c r="AS74" s="1"/>
  <c r="AF75"/>
  <c r="AS75" s="1"/>
  <c r="AF76"/>
  <c r="AS76" s="1"/>
  <c r="AF77"/>
  <c r="AS77" s="1"/>
  <c r="AF78"/>
  <c r="AS78" s="1"/>
  <c r="AF79"/>
  <c r="AS79" s="1"/>
  <c r="AF80"/>
  <c r="AS80" s="1"/>
  <c r="AF81"/>
  <c r="AS81" s="1"/>
  <c r="AF82"/>
  <c r="AS82" s="1"/>
  <c r="AF83"/>
  <c r="AS83" s="1"/>
  <c r="AF84"/>
  <c r="AS84" s="1"/>
  <c r="AF85"/>
  <c r="AS85" s="1"/>
  <c r="AF86"/>
  <c r="AS86" s="1"/>
  <c r="AF87"/>
  <c r="AS87" s="1"/>
  <c r="AF88"/>
  <c r="AS88" s="1"/>
  <c r="AF89"/>
  <c r="AS89" s="1"/>
  <c r="AF90"/>
  <c r="AS90" s="1"/>
  <c r="AF91"/>
  <c r="AS91" s="1"/>
  <c r="AF92"/>
  <c r="AS92" s="1"/>
  <c r="AF93"/>
  <c r="AS93" s="1"/>
  <c r="AF94"/>
  <c r="AS94" s="1"/>
  <c r="AF95"/>
  <c r="AS95" s="1"/>
  <c r="AF96"/>
  <c r="AS96" s="1"/>
  <c r="AF97"/>
  <c r="AS97" s="1"/>
  <c r="AF98"/>
  <c r="AS98" s="1"/>
  <c r="AF99"/>
  <c r="AS99" s="1"/>
  <c r="AF100"/>
  <c r="AS100" s="1"/>
  <c r="AF101"/>
  <c r="AS101" s="1"/>
  <c r="AF102"/>
  <c r="AS102" s="1"/>
  <c r="AF103"/>
  <c r="AS103" s="1"/>
  <c r="AF104"/>
  <c r="AS104" s="1"/>
  <c r="AF105"/>
  <c r="AS105" s="1"/>
  <c r="AF106"/>
  <c r="AS106" s="1"/>
  <c r="AF107"/>
  <c r="AS107" s="1"/>
  <c r="AF108"/>
  <c r="AS108" s="1"/>
  <c r="AF109"/>
  <c r="AS109" s="1"/>
  <c r="AF110"/>
  <c r="AS110" s="1"/>
  <c r="AF111"/>
  <c r="AS111" s="1"/>
  <c r="AF112"/>
  <c r="AS112" s="1"/>
  <c r="AF113"/>
  <c r="AS113" s="1"/>
  <c r="AF114"/>
  <c r="AS114" s="1"/>
  <c r="AF115"/>
  <c r="AS115" s="1"/>
  <c r="AF116"/>
  <c r="AS116" s="1"/>
  <c r="AF117"/>
  <c r="AS117" s="1"/>
  <c r="AF118"/>
  <c r="AS118" s="1"/>
  <c r="AF119"/>
  <c r="AS119" s="1"/>
  <c r="AF120"/>
  <c r="AS120" s="1"/>
  <c r="AF121"/>
  <c r="AS121" s="1"/>
  <c r="AF122"/>
  <c r="AS122" s="1"/>
  <c r="AF123"/>
  <c r="AS123" s="1"/>
  <c r="AF124"/>
  <c r="AS124" s="1"/>
  <c r="AF125"/>
  <c r="AS125" s="1"/>
  <c r="AF126"/>
  <c r="AS126" s="1"/>
  <c r="AF127"/>
  <c r="AS127" s="1"/>
  <c r="AF128"/>
  <c r="AS128" s="1"/>
  <c r="AF129"/>
  <c r="AS129" s="1"/>
  <c r="AF130"/>
  <c r="AS130" s="1"/>
  <c r="AF131"/>
  <c r="AS131" s="1"/>
  <c r="AF132"/>
  <c r="AS132" s="1"/>
  <c r="AF133"/>
  <c r="AS133" s="1"/>
  <c r="AF134"/>
  <c r="AS134" s="1"/>
  <c r="AF135"/>
  <c r="AS135" s="1"/>
  <c r="AF136"/>
  <c r="AS136" s="1"/>
  <c r="AF137"/>
  <c r="AS137" s="1"/>
  <c r="AF138"/>
  <c r="AS138" s="1"/>
  <c r="AF139"/>
  <c r="AS139" s="1"/>
  <c r="AF140"/>
  <c r="AS140" s="1"/>
  <c r="AF141"/>
  <c r="AS141" s="1"/>
  <c r="AF142"/>
  <c r="AS142" s="1"/>
  <c r="AF143"/>
  <c r="AS143" s="1"/>
  <c r="AF144"/>
  <c r="AS144" s="1"/>
  <c r="AF145"/>
  <c r="AS145" s="1"/>
  <c r="AF146"/>
  <c r="AS146" s="1"/>
  <c r="AF147"/>
  <c r="AS147" s="1"/>
  <c r="AF148"/>
  <c r="AS148" s="1"/>
  <c r="AF149"/>
  <c r="AS149" s="1"/>
  <c r="AF150"/>
  <c r="AS150" s="1"/>
  <c r="AF151"/>
  <c r="AS151" s="1"/>
  <c r="AF152"/>
  <c r="AS152" s="1"/>
  <c r="AF153"/>
  <c r="AS153" s="1"/>
  <c r="AF154"/>
  <c r="AS154" s="1"/>
  <c r="AF155"/>
  <c r="AS155" s="1"/>
  <c r="AF156"/>
  <c r="AS156" s="1"/>
  <c r="AF157"/>
  <c r="AS157" s="1"/>
  <c r="AF158"/>
  <c r="AS158" s="1"/>
  <c r="AF159"/>
  <c r="AS159" s="1"/>
  <c r="AF160"/>
  <c r="AS160" s="1"/>
  <c r="AF161"/>
  <c r="AS161" s="1"/>
  <c r="AF162"/>
  <c r="AS162" s="1"/>
  <c r="AF163"/>
  <c r="AS163" s="1"/>
  <c r="AF164"/>
  <c r="AS164" s="1"/>
  <c r="AF165"/>
  <c r="AS165" s="1"/>
  <c r="AF166"/>
  <c r="AS166" s="1"/>
  <c r="AF167"/>
  <c r="AS167" s="1"/>
  <c r="AF168"/>
  <c r="AS168" s="1"/>
  <c r="AF169"/>
  <c r="AS169" s="1"/>
  <c r="AF170"/>
  <c r="AS170" s="1"/>
  <c r="AF171"/>
  <c r="AS171" s="1"/>
  <c r="AF172"/>
  <c r="AS172" s="1"/>
  <c r="AF173"/>
  <c r="AS173" s="1"/>
  <c r="AF174"/>
  <c r="AS174" s="1"/>
  <c r="AF175"/>
  <c r="AS175" s="1"/>
  <c r="AF176"/>
  <c r="AS176" s="1"/>
  <c r="AF177"/>
  <c r="AS177" s="1"/>
  <c r="AF178"/>
  <c r="AS178" s="1"/>
  <c r="AF179"/>
  <c r="AS179" s="1"/>
  <c r="AF180"/>
  <c r="AS180" s="1"/>
  <c r="AF181"/>
  <c r="AS181" s="1"/>
  <c r="AF182"/>
  <c r="AS182" s="1"/>
  <c r="AF183"/>
  <c r="AS183" s="1"/>
  <c r="AF184"/>
  <c r="AS184" s="1"/>
  <c r="AF185"/>
  <c r="AS185" s="1"/>
  <c r="AF186"/>
  <c r="AS186" s="1"/>
  <c r="AF187"/>
  <c r="AS187" s="1"/>
  <c r="AF188"/>
  <c r="AS188" s="1"/>
  <c r="AF189"/>
  <c r="AS189" s="1"/>
  <c r="AF190"/>
  <c r="AS190" s="1"/>
  <c r="AF191"/>
  <c r="AS191" s="1"/>
  <c r="AF192"/>
  <c r="AS192" s="1"/>
  <c r="AF193"/>
  <c r="AS193" s="1"/>
  <c r="AF194"/>
  <c r="AS194" s="1"/>
  <c r="AF195"/>
  <c r="AS195" s="1"/>
  <c r="AF196"/>
  <c r="AS196" s="1"/>
  <c r="AF197"/>
  <c r="AS197" s="1"/>
  <c r="AF198"/>
  <c r="AS198" s="1"/>
  <c r="AF199"/>
  <c r="AS199" s="1"/>
  <c r="AF200"/>
  <c r="AS200" s="1"/>
  <c r="AF201"/>
  <c r="AS201" s="1"/>
  <c r="AF202"/>
  <c r="AS202" s="1"/>
  <c r="AF203"/>
  <c r="AS203" s="1"/>
  <c r="AF204"/>
  <c r="AS204" s="1"/>
  <c r="AF205"/>
  <c r="AS205" s="1"/>
  <c r="AF206"/>
  <c r="AS206" s="1"/>
  <c r="AF207"/>
  <c r="AS207" s="1"/>
  <c r="AF208"/>
  <c r="AS208" s="1"/>
  <c r="AF209"/>
  <c r="AS209" s="1"/>
  <c r="AF210"/>
  <c r="AS210" s="1"/>
  <c r="AF211"/>
  <c r="AS211" s="1"/>
  <c r="AF212"/>
  <c r="AS212" s="1"/>
  <c r="AF213"/>
  <c r="AS213" s="1"/>
  <c r="AF214"/>
  <c r="AS214" s="1"/>
  <c r="AF215"/>
  <c r="AS215" s="1"/>
  <c r="AF216"/>
  <c r="AS216" s="1"/>
  <c r="AF217"/>
  <c r="AS217" s="1"/>
  <c r="AF218"/>
  <c r="AS218" s="1"/>
  <c r="AF219"/>
  <c r="AS219" s="1"/>
  <c r="AF220"/>
  <c r="AS220" s="1"/>
  <c r="AF221"/>
  <c r="AS221" s="1"/>
  <c r="AF222"/>
  <c r="AS222" s="1"/>
  <c r="AF223"/>
  <c r="AS223" s="1"/>
  <c r="AF224"/>
  <c r="AS224" s="1"/>
  <c r="AF225"/>
  <c r="AS225" s="1"/>
  <c r="AE5"/>
  <c r="AR5" s="1"/>
  <c r="AE6"/>
  <c r="AR6" s="1"/>
  <c r="AE7"/>
  <c r="AR7" s="1"/>
  <c r="AE8"/>
  <c r="AR8" s="1"/>
  <c r="AE9"/>
  <c r="AR9" s="1"/>
  <c r="AE10"/>
  <c r="AR10" s="1"/>
  <c r="AE11"/>
  <c r="AR11" s="1"/>
  <c r="AE12"/>
  <c r="AR12" s="1"/>
  <c r="AE13"/>
  <c r="AR13" s="1"/>
  <c r="AE14"/>
  <c r="AR14" s="1"/>
  <c r="AE15"/>
  <c r="AR15" s="1"/>
  <c r="AE16"/>
  <c r="AR16" s="1"/>
  <c r="AE17"/>
  <c r="AR17" s="1"/>
  <c r="AE18"/>
  <c r="AR18" s="1"/>
  <c r="AE19"/>
  <c r="AR19" s="1"/>
  <c r="AE20"/>
  <c r="AR20" s="1"/>
  <c r="AE21"/>
  <c r="AR21" s="1"/>
  <c r="AE22"/>
  <c r="AR22" s="1"/>
  <c r="AE23"/>
  <c r="AR23" s="1"/>
  <c r="AE24"/>
  <c r="AR24" s="1"/>
  <c r="AE25"/>
  <c r="AR25" s="1"/>
  <c r="AE26"/>
  <c r="AR26" s="1"/>
  <c r="AE27"/>
  <c r="AR27" s="1"/>
  <c r="AE28"/>
  <c r="AR28" s="1"/>
  <c r="AE29"/>
  <c r="AR29" s="1"/>
  <c r="AE30"/>
  <c r="AR30" s="1"/>
  <c r="AE31"/>
  <c r="AR31" s="1"/>
  <c r="AE32"/>
  <c r="AR32" s="1"/>
  <c r="AE33"/>
  <c r="AR33" s="1"/>
  <c r="AE34"/>
  <c r="AR34" s="1"/>
  <c r="AE35"/>
  <c r="AR35" s="1"/>
  <c r="AE36"/>
  <c r="AR36" s="1"/>
  <c r="AE37"/>
  <c r="AR37" s="1"/>
  <c r="AE38"/>
  <c r="AR38" s="1"/>
  <c r="AE39"/>
  <c r="AR39" s="1"/>
  <c r="AE40"/>
  <c r="AR40" s="1"/>
  <c r="AE41"/>
  <c r="AR41" s="1"/>
  <c r="AE42"/>
  <c r="AR42" s="1"/>
  <c r="AE43"/>
  <c r="AR43" s="1"/>
  <c r="AE44"/>
  <c r="AR44" s="1"/>
  <c r="AE45"/>
  <c r="AR45" s="1"/>
  <c r="AE46"/>
  <c r="AR46" s="1"/>
  <c r="AE47"/>
  <c r="AR47" s="1"/>
  <c r="AE48"/>
  <c r="AR48" s="1"/>
  <c r="AE49"/>
  <c r="AR49" s="1"/>
  <c r="AE50"/>
  <c r="AR50" s="1"/>
  <c r="AE51"/>
  <c r="AR51" s="1"/>
  <c r="AE52"/>
  <c r="AR52" s="1"/>
  <c r="AE53"/>
  <c r="AR53" s="1"/>
  <c r="AE54"/>
  <c r="AR54" s="1"/>
  <c r="AE55"/>
  <c r="AR55" s="1"/>
  <c r="AE56"/>
  <c r="AR56" s="1"/>
  <c r="AE57"/>
  <c r="AR57" s="1"/>
  <c r="AE58"/>
  <c r="AR58" s="1"/>
  <c r="AE59"/>
  <c r="AR59" s="1"/>
  <c r="AE60"/>
  <c r="AR60" s="1"/>
  <c r="AE61"/>
  <c r="AR61" s="1"/>
  <c r="AE62"/>
  <c r="AR62" s="1"/>
  <c r="AE63"/>
  <c r="AR63" s="1"/>
  <c r="AE64"/>
  <c r="AR64" s="1"/>
  <c r="AE65"/>
  <c r="AR65" s="1"/>
  <c r="AE66"/>
  <c r="AR66" s="1"/>
  <c r="AE67"/>
  <c r="AR67" s="1"/>
  <c r="AE68"/>
  <c r="AR68" s="1"/>
  <c r="AE69"/>
  <c r="AR69" s="1"/>
  <c r="AE70"/>
  <c r="AR70" s="1"/>
  <c r="AE71"/>
  <c r="AR71" s="1"/>
  <c r="AE72"/>
  <c r="AR72" s="1"/>
  <c r="AE73"/>
  <c r="AR73" s="1"/>
  <c r="AE74"/>
  <c r="AR74" s="1"/>
  <c r="AE75"/>
  <c r="AR75" s="1"/>
  <c r="AE76"/>
  <c r="AR76" s="1"/>
  <c r="AE77"/>
  <c r="AR77" s="1"/>
  <c r="AE78"/>
  <c r="AR78" s="1"/>
  <c r="AE79"/>
  <c r="AR79" s="1"/>
  <c r="AE80"/>
  <c r="AR80" s="1"/>
  <c r="AE81"/>
  <c r="AR81" s="1"/>
  <c r="AE82"/>
  <c r="AR82" s="1"/>
  <c r="AE83"/>
  <c r="AR83" s="1"/>
  <c r="AE84"/>
  <c r="AR84" s="1"/>
  <c r="AE85"/>
  <c r="AR85" s="1"/>
  <c r="AE86"/>
  <c r="AR86" s="1"/>
  <c r="AE87"/>
  <c r="AR87" s="1"/>
  <c r="AE88"/>
  <c r="AR88" s="1"/>
  <c r="AE89"/>
  <c r="AR89" s="1"/>
  <c r="AE90"/>
  <c r="AR90" s="1"/>
  <c r="AE91"/>
  <c r="AR91" s="1"/>
  <c r="AE92"/>
  <c r="AR92" s="1"/>
  <c r="AE93"/>
  <c r="AR93" s="1"/>
  <c r="AE94"/>
  <c r="AR94" s="1"/>
  <c r="AE95"/>
  <c r="AR95" s="1"/>
  <c r="AE96"/>
  <c r="AR96" s="1"/>
  <c r="AE97"/>
  <c r="AR97" s="1"/>
  <c r="AE98"/>
  <c r="AR98" s="1"/>
  <c r="AE99"/>
  <c r="AR99" s="1"/>
  <c r="AE100"/>
  <c r="AR100" s="1"/>
  <c r="AE101"/>
  <c r="AR101" s="1"/>
  <c r="AE102"/>
  <c r="AR102" s="1"/>
  <c r="AE103"/>
  <c r="AR103" s="1"/>
  <c r="AE104"/>
  <c r="AR104" s="1"/>
  <c r="AE105"/>
  <c r="AR105" s="1"/>
  <c r="AE106"/>
  <c r="AR106" s="1"/>
  <c r="AE107"/>
  <c r="AR107" s="1"/>
  <c r="AE108"/>
  <c r="AR108" s="1"/>
  <c r="AE109"/>
  <c r="AR109" s="1"/>
  <c r="AE110"/>
  <c r="AR110" s="1"/>
  <c r="AE111"/>
  <c r="AR111" s="1"/>
  <c r="AE112"/>
  <c r="AR112" s="1"/>
  <c r="AE113"/>
  <c r="AR113" s="1"/>
  <c r="AE114"/>
  <c r="AR114" s="1"/>
  <c r="AE115"/>
  <c r="AR115" s="1"/>
  <c r="AE116"/>
  <c r="AR116" s="1"/>
  <c r="AE117"/>
  <c r="AR117" s="1"/>
  <c r="AE118"/>
  <c r="AR118" s="1"/>
  <c r="AE119"/>
  <c r="AR119" s="1"/>
  <c r="AE120"/>
  <c r="AR120" s="1"/>
  <c r="AE121"/>
  <c r="AR121" s="1"/>
  <c r="AE122"/>
  <c r="AR122" s="1"/>
  <c r="AE123"/>
  <c r="AR123" s="1"/>
  <c r="AE124"/>
  <c r="AR124" s="1"/>
  <c r="AE125"/>
  <c r="AR125" s="1"/>
  <c r="AE126"/>
  <c r="AR126" s="1"/>
  <c r="AE127"/>
  <c r="AR127" s="1"/>
  <c r="AE128"/>
  <c r="AR128" s="1"/>
  <c r="AE129"/>
  <c r="AR129" s="1"/>
  <c r="AE130"/>
  <c r="AR130" s="1"/>
  <c r="AE131"/>
  <c r="AR131" s="1"/>
  <c r="AE132"/>
  <c r="AR132" s="1"/>
  <c r="AE133"/>
  <c r="AR133" s="1"/>
  <c r="AE134"/>
  <c r="AR134" s="1"/>
  <c r="AE135"/>
  <c r="AR135" s="1"/>
  <c r="AE136"/>
  <c r="AR136" s="1"/>
  <c r="AE137"/>
  <c r="AR137" s="1"/>
  <c r="AE138"/>
  <c r="AR138" s="1"/>
  <c r="AE139"/>
  <c r="AR139" s="1"/>
  <c r="AE140"/>
  <c r="AR140" s="1"/>
  <c r="AE141"/>
  <c r="AR141" s="1"/>
  <c r="AE142"/>
  <c r="AR142" s="1"/>
  <c r="AE143"/>
  <c r="AR143" s="1"/>
  <c r="AE144"/>
  <c r="AR144" s="1"/>
  <c r="AE145"/>
  <c r="AR145" s="1"/>
  <c r="AE146"/>
  <c r="AR146" s="1"/>
  <c r="AE147"/>
  <c r="AR147" s="1"/>
  <c r="AE148"/>
  <c r="AR148" s="1"/>
  <c r="AE149"/>
  <c r="AR149" s="1"/>
  <c r="AE150"/>
  <c r="AR150" s="1"/>
  <c r="AE151"/>
  <c r="AR151" s="1"/>
  <c r="AE152"/>
  <c r="AR152" s="1"/>
  <c r="AE153"/>
  <c r="AR153" s="1"/>
  <c r="AE154"/>
  <c r="AR154" s="1"/>
  <c r="AE155"/>
  <c r="AR155" s="1"/>
  <c r="AE156"/>
  <c r="AR156" s="1"/>
  <c r="AE158"/>
  <c r="AR158" s="1"/>
  <c r="AE159"/>
  <c r="AR159" s="1"/>
  <c r="AE160"/>
  <c r="AR160" s="1"/>
  <c r="AE161"/>
  <c r="AR161" s="1"/>
  <c r="AE162"/>
  <c r="AR162" s="1"/>
  <c r="AE163"/>
  <c r="AR163" s="1"/>
  <c r="AE164"/>
  <c r="AR164" s="1"/>
  <c r="AE165"/>
  <c r="AR165" s="1"/>
  <c r="AE166"/>
  <c r="AR166" s="1"/>
  <c r="AE167"/>
  <c r="AR167" s="1"/>
  <c r="AE168"/>
  <c r="AR168" s="1"/>
  <c r="AE169"/>
  <c r="AR169" s="1"/>
  <c r="AE170"/>
  <c r="AR170" s="1"/>
  <c r="AE171"/>
  <c r="AR171" s="1"/>
  <c r="AE172"/>
  <c r="AR172" s="1"/>
  <c r="AE173"/>
  <c r="AR173" s="1"/>
  <c r="AE174"/>
  <c r="AR174" s="1"/>
  <c r="AE175"/>
  <c r="AR175" s="1"/>
  <c r="AE176"/>
  <c r="AR176" s="1"/>
  <c r="AE177"/>
  <c r="AR177" s="1"/>
  <c r="AE178"/>
  <c r="AR178" s="1"/>
  <c r="AE179"/>
  <c r="AR179" s="1"/>
  <c r="AE180"/>
  <c r="AR180" s="1"/>
  <c r="AE181"/>
  <c r="AR181" s="1"/>
  <c r="AE182"/>
  <c r="AR182" s="1"/>
  <c r="AE183"/>
  <c r="AR183" s="1"/>
  <c r="AE184"/>
  <c r="AR184" s="1"/>
  <c r="AE185"/>
  <c r="AR185" s="1"/>
  <c r="AE186"/>
  <c r="AR186" s="1"/>
  <c r="AE187"/>
  <c r="AR187" s="1"/>
  <c r="AE188"/>
  <c r="AR188" s="1"/>
  <c r="AE189"/>
  <c r="AR189" s="1"/>
  <c r="AE190"/>
  <c r="AR190" s="1"/>
  <c r="AE191"/>
  <c r="AR191" s="1"/>
  <c r="AE192"/>
  <c r="AR192" s="1"/>
  <c r="AE193"/>
  <c r="AR193" s="1"/>
  <c r="AE194"/>
  <c r="AR194" s="1"/>
  <c r="AE195"/>
  <c r="AR195" s="1"/>
  <c r="AE196"/>
  <c r="AR196" s="1"/>
  <c r="AE197"/>
  <c r="AR197" s="1"/>
  <c r="AE198"/>
  <c r="AR198" s="1"/>
  <c r="AE199"/>
  <c r="AR199" s="1"/>
  <c r="AE200"/>
  <c r="AR200" s="1"/>
  <c r="AE201"/>
  <c r="AR201" s="1"/>
  <c r="AE202"/>
  <c r="AR202" s="1"/>
  <c r="AE203"/>
  <c r="AR203" s="1"/>
  <c r="AE204"/>
  <c r="AR204" s="1"/>
  <c r="AE205"/>
  <c r="AR205" s="1"/>
  <c r="AE206"/>
  <c r="AR206" s="1"/>
  <c r="AE207"/>
  <c r="AR207" s="1"/>
  <c r="AE208"/>
  <c r="AR208" s="1"/>
  <c r="AE209"/>
  <c r="AR209" s="1"/>
  <c r="AE210"/>
  <c r="AR210" s="1"/>
  <c r="AE211"/>
  <c r="AR211" s="1"/>
  <c r="AE212"/>
  <c r="AR212" s="1"/>
  <c r="AE213"/>
  <c r="AR213" s="1"/>
  <c r="AE214"/>
  <c r="AR214" s="1"/>
  <c r="AE215"/>
  <c r="AR215" s="1"/>
  <c r="AE216"/>
  <c r="AR216" s="1"/>
  <c r="AE217"/>
  <c r="AR217" s="1"/>
  <c r="AE218"/>
  <c r="AR218" s="1"/>
  <c r="AE219"/>
  <c r="AR219" s="1"/>
  <c r="AE220"/>
  <c r="AR220" s="1"/>
  <c r="AE221"/>
  <c r="AR221" s="1"/>
  <c r="AE222"/>
  <c r="AR222" s="1"/>
  <c r="AE223"/>
  <c r="AR223" s="1"/>
  <c r="AE224"/>
  <c r="AR224" s="1"/>
  <c r="AE225"/>
  <c r="AR225" s="1"/>
  <c r="AD5"/>
  <c r="AQ5" s="1"/>
  <c r="AD6"/>
  <c r="AQ6" s="1"/>
  <c r="AD7"/>
  <c r="AQ7" s="1"/>
  <c r="AD8"/>
  <c r="AQ8" s="1"/>
  <c r="AD9"/>
  <c r="AQ9" s="1"/>
  <c r="AD10"/>
  <c r="AQ10" s="1"/>
  <c r="AD11"/>
  <c r="AQ11" s="1"/>
  <c r="AD12"/>
  <c r="AQ12" s="1"/>
  <c r="AD13"/>
  <c r="AQ13" s="1"/>
  <c r="AD14"/>
  <c r="AQ14" s="1"/>
  <c r="AD15"/>
  <c r="AQ15" s="1"/>
  <c r="AD16"/>
  <c r="AQ16" s="1"/>
  <c r="AD17"/>
  <c r="AQ17" s="1"/>
  <c r="AD18"/>
  <c r="AQ18" s="1"/>
  <c r="AD19"/>
  <c r="AQ19" s="1"/>
  <c r="AD20"/>
  <c r="AQ20" s="1"/>
  <c r="AD21"/>
  <c r="AQ21" s="1"/>
  <c r="AD22"/>
  <c r="AQ22" s="1"/>
  <c r="AD23"/>
  <c r="AQ23" s="1"/>
  <c r="AD24"/>
  <c r="AQ24" s="1"/>
  <c r="AD25"/>
  <c r="AQ25" s="1"/>
  <c r="AD26"/>
  <c r="AQ26" s="1"/>
  <c r="AD27"/>
  <c r="AQ27" s="1"/>
  <c r="AD28"/>
  <c r="AQ28" s="1"/>
  <c r="AD29"/>
  <c r="AQ29" s="1"/>
  <c r="AD30"/>
  <c r="AQ30" s="1"/>
  <c r="AD31"/>
  <c r="AQ31" s="1"/>
  <c r="AD32"/>
  <c r="AQ32" s="1"/>
  <c r="AD33"/>
  <c r="AQ33" s="1"/>
  <c r="AD34"/>
  <c r="AQ34" s="1"/>
  <c r="AD35"/>
  <c r="AQ35" s="1"/>
  <c r="AD36"/>
  <c r="AQ36" s="1"/>
  <c r="AD37"/>
  <c r="AQ37" s="1"/>
  <c r="AD38"/>
  <c r="AQ38" s="1"/>
  <c r="AD39"/>
  <c r="AQ39" s="1"/>
  <c r="AD40"/>
  <c r="AQ40" s="1"/>
  <c r="AD41"/>
  <c r="AQ41" s="1"/>
  <c r="AD42"/>
  <c r="AQ42" s="1"/>
  <c r="AD43"/>
  <c r="AQ43" s="1"/>
  <c r="AD44"/>
  <c r="AQ44" s="1"/>
  <c r="AD45"/>
  <c r="AQ45" s="1"/>
  <c r="AD46"/>
  <c r="AQ46" s="1"/>
  <c r="AD47"/>
  <c r="AQ47" s="1"/>
  <c r="AD48"/>
  <c r="AQ48" s="1"/>
  <c r="AD49"/>
  <c r="AQ49" s="1"/>
  <c r="AD50"/>
  <c r="AQ50" s="1"/>
  <c r="AD51"/>
  <c r="AQ51" s="1"/>
  <c r="AD52"/>
  <c r="AQ52" s="1"/>
  <c r="AD53"/>
  <c r="AQ53" s="1"/>
  <c r="AD54"/>
  <c r="AQ54" s="1"/>
  <c r="AD55"/>
  <c r="AQ55" s="1"/>
  <c r="AD56"/>
  <c r="AQ56" s="1"/>
  <c r="AD57"/>
  <c r="AQ57" s="1"/>
  <c r="AD58"/>
  <c r="AQ58" s="1"/>
  <c r="AD59"/>
  <c r="AQ59" s="1"/>
  <c r="AD60"/>
  <c r="AQ60" s="1"/>
  <c r="AD61"/>
  <c r="AQ61" s="1"/>
  <c r="AD62"/>
  <c r="AQ62" s="1"/>
  <c r="AD63"/>
  <c r="AQ63" s="1"/>
  <c r="AD64"/>
  <c r="AQ64" s="1"/>
  <c r="AD65"/>
  <c r="AQ65" s="1"/>
  <c r="AD66"/>
  <c r="AQ66" s="1"/>
  <c r="AD67"/>
  <c r="AQ67" s="1"/>
  <c r="AD68"/>
  <c r="AQ68" s="1"/>
  <c r="AD69"/>
  <c r="AQ69" s="1"/>
  <c r="AD70"/>
  <c r="AQ70" s="1"/>
  <c r="AD71"/>
  <c r="AQ71" s="1"/>
  <c r="AD72"/>
  <c r="AQ72" s="1"/>
  <c r="AD73"/>
  <c r="AQ73" s="1"/>
  <c r="AD74"/>
  <c r="AQ74" s="1"/>
  <c r="AD75"/>
  <c r="AQ75" s="1"/>
  <c r="AD76"/>
  <c r="AQ76" s="1"/>
  <c r="AD77"/>
  <c r="AQ77" s="1"/>
  <c r="AD78"/>
  <c r="AQ78" s="1"/>
  <c r="AD79"/>
  <c r="AQ79" s="1"/>
  <c r="AD80"/>
  <c r="AQ80" s="1"/>
  <c r="AD81"/>
  <c r="AQ81" s="1"/>
  <c r="AD82"/>
  <c r="AQ82" s="1"/>
  <c r="AD83"/>
  <c r="AQ83" s="1"/>
  <c r="AD84"/>
  <c r="AQ84" s="1"/>
  <c r="AD85"/>
  <c r="AQ85" s="1"/>
  <c r="AD86"/>
  <c r="AQ86" s="1"/>
  <c r="AD87"/>
  <c r="AQ87" s="1"/>
  <c r="AD88"/>
  <c r="AQ88" s="1"/>
  <c r="AD89"/>
  <c r="AQ89" s="1"/>
  <c r="AD90"/>
  <c r="AQ90" s="1"/>
  <c r="AD91"/>
  <c r="AQ91" s="1"/>
  <c r="AD92"/>
  <c r="AQ92" s="1"/>
  <c r="AD93"/>
  <c r="AQ93" s="1"/>
  <c r="AD94"/>
  <c r="AQ94" s="1"/>
  <c r="AD95"/>
  <c r="AQ95" s="1"/>
  <c r="AD96"/>
  <c r="AQ96" s="1"/>
  <c r="AD97"/>
  <c r="AQ97" s="1"/>
  <c r="AD98"/>
  <c r="AQ98" s="1"/>
  <c r="AD99"/>
  <c r="AQ99" s="1"/>
  <c r="AD100"/>
  <c r="AQ100" s="1"/>
  <c r="AD101"/>
  <c r="AQ101" s="1"/>
  <c r="AD102"/>
  <c r="AQ102" s="1"/>
  <c r="AD103"/>
  <c r="AQ103" s="1"/>
  <c r="AD104"/>
  <c r="AQ104" s="1"/>
  <c r="AD105"/>
  <c r="AQ105" s="1"/>
  <c r="AD106"/>
  <c r="AQ106" s="1"/>
  <c r="AD107"/>
  <c r="AQ107" s="1"/>
  <c r="AD108"/>
  <c r="AQ108" s="1"/>
  <c r="AD109"/>
  <c r="AQ109" s="1"/>
  <c r="AD110"/>
  <c r="AQ110" s="1"/>
  <c r="AD111"/>
  <c r="AQ111" s="1"/>
  <c r="AD112"/>
  <c r="AQ112" s="1"/>
  <c r="AD113"/>
  <c r="AQ113" s="1"/>
  <c r="AD114"/>
  <c r="AQ114" s="1"/>
  <c r="AD115"/>
  <c r="AQ115" s="1"/>
  <c r="AD116"/>
  <c r="AQ116" s="1"/>
  <c r="AD117"/>
  <c r="AQ117" s="1"/>
  <c r="AD118"/>
  <c r="AQ118" s="1"/>
  <c r="AD119"/>
  <c r="AQ119" s="1"/>
  <c r="AD120"/>
  <c r="AQ120" s="1"/>
  <c r="AD121"/>
  <c r="AQ121" s="1"/>
  <c r="AD122"/>
  <c r="AQ122" s="1"/>
  <c r="AD123"/>
  <c r="AQ123" s="1"/>
  <c r="AD124"/>
  <c r="AQ124" s="1"/>
  <c r="AD125"/>
  <c r="AQ125" s="1"/>
  <c r="AD126"/>
  <c r="AQ126" s="1"/>
  <c r="AD127"/>
  <c r="AQ127" s="1"/>
  <c r="AD128"/>
  <c r="AQ128" s="1"/>
  <c r="AD129"/>
  <c r="AQ129" s="1"/>
  <c r="AD130"/>
  <c r="AQ130" s="1"/>
  <c r="AD131"/>
  <c r="AQ131" s="1"/>
  <c r="AD132"/>
  <c r="AQ132" s="1"/>
  <c r="AD133"/>
  <c r="AQ133" s="1"/>
  <c r="AD134"/>
  <c r="AQ134" s="1"/>
  <c r="AD135"/>
  <c r="AQ135" s="1"/>
  <c r="AD136"/>
  <c r="AQ136" s="1"/>
  <c r="AD137"/>
  <c r="AQ137" s="1"/>
  <c r="AD138"/>
  <c r="AQ138" s="1"/>
  <c r="AD140"/>
  <c r="AQ140" s="1"/>
  <c r="AD141"/>
  <c r="AQ141" s="1"/>
  <c r="AD142"/>
  <c r="AQ142" s="1"/>
  <c r="AD143"/>
  <c r="AQ143" s="1"/>
  <c r="AD144"/>
  <c r="AQ144" s="1"/>
  <c r="AD145"/>
  <c r="AQ145" s="1"/>
  <c r="AD146"/>
  <c r="AQ146" s="1"/>
  <c r="AD147"/>
  <c r="AQ147" s="1"/>
  <c r="AD148"/>
  <c r="AQ148" s="1"/>
  <c r="AD149"/>
  <c r="AQ149" s="1"/>
  <c r="AD150"/>
  <c r="AQ150" s="1"/>
  <c r="AD151"/>
  <c r="AQ151" s="1"/>
  <c r="AD152"/>
  <c r="AQ152" s="1"/>
  <c r="AD153"/>
  <c r="AQ153" s="1"/>
  <c r="AD154"/>
  <c r="AQ154" s="1"/>
  <c r="AD155"/>
  <c r="AQ155" s="1"/>
  <c r="AD156"/>
  <c r="AQ156" s="1"/>
  <c r="AD157"/>
  <c r="AQ157" s="1"/>
  <c r="AD158"/>
  <c r="AQ158" s="1"/>
  <c r="AD159"/>
  <c r="AQ159" s="1"/>
  <c r="AD160"/>
  <c r="AQ160" s="1"/>
  <c r="AD161"/>
  <c r="AQ161" s="1"/>
  <c r="AD162"/>
  <c r="AQ162" s="1"/>
  <c r="AD163"/>
  <c r="AQ163" s="1"/>
  <c r="AD164"/>
  <c r="AQ164" s="1"/>
  <c r="AD165"/>
  <c r="AQ165" s="1"/>
  <c r="AD166"/>
  <c r="AQ166" s="1"/>
  <c r="AD167"/>
  <c r="AQ167" s="1"/>
  <c r="AD168"/>
  <c r="AQ168" s="1"/>
  <c r="AD169"/>
  <c r="AQ169" s="1"/>
  <c r="AD170"/>
  <c r="AQ170" s="1"/>
  <c r="AD171"/>
  <c r="AQ171" s="1"/>
  <c r="AD172"/>
  <c r="AQ172" s="1"/>
  <c r="AD173"/>
  <c r="AQ173" s="1"/>
  <c r="AD174"/>
  <c r="AQ174" s="1"/>
  <c r="AD175"/>
  <c r="AQ175" s="1"/>
  <c r="AD176"/>
  <c r="AQ176" s="1"/>
  <c r="AD177"/>
  <c r="AQ177" s="1"/>
  <c r="AD178"/>
  <c r="AQ178" s="1"/>
  <c r="AD179"/>
  <c r="AQ179" s="1"/>
  <c r="AD180"/>
  <c r="AQ180" s="1"/>
  <c r="AD181"/>
  <c r="AQ181" s="1"/>
  <c r="AD182"/>
  <c r="AQ182" s="1"/>
  <c r="AD183"/>
  <c r="AQ183" s="1"/>
  <c r="AD184"/>
  <c r="AQ184" s="1"/>
  <c r="AD185"/>
  <c r="AQ185" s="1"/>
  <c r="AD186"/>
  <c r="AQ186" s="1"/>
  <c r="AD187"/>
  <c r="AQ187" s="1"/>
  <c r="AD188"/>
  <c r="AQ188" s="1"/>
  <c r="AD189"/>
  <c r="AQ189" s="1"/>
  <c r="AD190"/>
  <c r="AQ190" s="1"/>
  <c r="AD191"/>
  <c r="AQ191" s="1"/>
  <c r="AD192"/>
  <c r="AQ192" s="1"/>
  <c r="AD193"/>
  <c r="AQ193" s="1"/>
  <c r="AD194"/>
  <c r="AQ194" s="1"/>
  <c r="AD195"/>
  <c r="AQ195" s="1"/>
  <c r="AD196"/>
  <c r="AQ196" s="1"/>
  <c r="AD197"/>
  <c r="AQ197" s="1"/>
  <c r="AD198"/>
  <c r="AQ198" s="1"/>
  <c r="AD199"/>
  <c r="AQ199" s="1"/>
  <c r="AD200"/>
  <c r="AQ200" s="1"/>
  <c r="AD201"/>
  <c r="AQ201" s="1"/>
  <c r="AD202"/>
  <c r="AQ202" s="1"/>
  <c r="AD203"/>
  <c r="AQ203" s="1"/>
  <c r="AD204"/>
  <c r="AQ204" s="1"/>
  <c r="AD205"/>
  <c r="AQ205" s="1"/>
  <c r="AD206"/>
  <c r="AQ206" s="1"/>
  <c r="AD207"/>
  <c r="AQ207" s="1"/>
  <c r="AD208"/>
  <c r="AQ208" s="1"/>
  <c r="AD209"/>
  <c r="AQ209" s="1"/>
  <c r="AD210"/>
  <c r="AQ210" s="1"/>
  <c r="AD211"/>
  <c r="AQ211" s="1"/>
  <c r="AD212"/>
  <c r="AQ212" s="1"/>
  <c r="AD213"/>
  <c r="AQ213" s="1"/>
  <c r="AD214"/>
  <c r="AQ214" s="1"/>
  <c r="AD215"/>
  <c r="AQ215" s="1"/>
  <c r="AD216"/>
  <c r="AQ216" s="1"/>
  <c r="AD217"/>
  <c r="AQ217" s="1"/>
  <c r="AD218"/>
  <c r="AQ218" s="1"/>
  <c r="AD219"/>
  <c r="AQ219" s="1"/>
  <c r="AD220"/>
  <c r="AQ220" s="1"/>
  <c r="AD221"/>
  <c r="AQ221" s="1"/>
  <c r="AD222"/>
  <c r="AQ222" s="1"/>
  <c r="AD223"/>
  <c r="AQ223" s="1"/>
  <c r="AD224"/>
  <c r="AQ224" s="1"/>
  <c r="AD225"/>
  <c r="AQ225" s="1"/>
  <c r="AC5"/>
  <c r="AP5" s="1"/>
  <c r="AC6"/>
  <c r="AP6" s="1"/>
  <c r="AC7"/>
  <c r="AP7" s="1"/>
  <c r="AC8"/>
  <c r="AP8" s="1"/>
  <c r="AC9"/>
  <c r="AP9" s="1"/>
  <c r="AC10"/>
  <c r="AP10" s="1"/>
  <c r="AC11"/>
  <c r="AP11" s="1"/>
  <c r="AC12"/>
  <c r="AP12" s="1"/>
  <c r="AC13"/>
  <c r="AP13" s="1"/>
  <c r="AC14"/>
  <c r="AP14" s="1"/>
  <c r="AC15"/>
  <c r="AP15" s="1"/>
  <c r="AC16"/>
  <c r="AP16" s="1"/>
  <c r="AC17"/>
  <c r="AP17" s="1"/>
  <c r="AC18"/>
  <c r="AP18" s="1"/>
  <c r="AC19"/>
  <c r="AP19" s="1"/>
  <c r="AC20"/>
  <c r="AP20" s="1"/>
  <c r="AC21"/>
  <c r="AP21" s="1"/>
  <c r="AC22"/>
  <c r="AP22" s="1"/>
  <c r="AC23"/>
  <c r="AP23" s="1"/>
  <c r="AC24"/>
  <c r="AP24" s="1"/>
  <c r="AC25"/>
  <c r="AP25" s="1"/>
  <c r="AC26"/>
  <c r="AP26" s="1"/>
  <c r="AC27"/>
  <c r="AP27" s="1"/>
  <c r="AC28"/>
  <c r="AP28" s="1"/>
  <c r="AC29"/>
  <c r="AP29" s="1"/>
  <c r="AC30"/>
  <c r="AP30" s="1"/>
  <c r="AC31"/>
  <c r="AP31" s="1"/>
  <c r="AC32"/>
  <c r="AP32" s="1"/>
  <c r="AC33"/>
  <c r="AP33" s="1"/>
  <c r="AC34"/>
  <c r="AP34" s="1"/>
  <c r="AC35"/>
  <c r="AP35" s="1"/>
  <c r="AC36"/>
  <c r="AP36" s="1"/>
  <c r="AC37"/>
  <c r="AP37" s="1"/>
  <c r="AC38"/>
  <c r="AP38" s="1"/>
  <c r="AC39"/>
  <c r="AP39" s="1"/>
  <c r="AC40"/>
  <c r="AP40" s="1"/>
  <c r="AC41"/>
  <c r="AP41" s="1"/>
  <c r="AC42"/>
  <c r="AP42" s="1"/>
  <c r="AC43"/>
  <c r="AM43" s="1"/>
  <c r="AC44"/>
  <c r="AP44" s="1"/>
  <c r="AC45"/>
  <c r="AM45" s="1"/>
  <c r="AC46"/>
  <c r="AP46" s="1"/>
  <c r="AC47"/>
  <c r="AM47" s="1"/>
  <c r="AC48"/>
  <c r="AP48" s="1"/>
  <c r="AC49"/>
  <c r="AM49" s="1"/>
  <c r="AC50"/>
  <c r="AP50" s="1"/>
  <c r="AC51"/>
  <c r="AM51" s="1"/>
  <c r="AC52"/>
  <c r="AP52" s="1"/>
  <c r="AC53"/>
  <c r="AM53" s="1"/>
  <c r="AC54"/>
  <c r="AP54" s="1"/>
  <c r="AC55"/>
  <c r="AM55" s="1"/>
  <c r="AC56"/>
  <c r="AP56" s="1"/>
  <c r="AC57"/>
  <c r="AM57" s="1"/>
  <c r="AC58"/>
  <c r="AP58" s="1"/>
  <c r="AC59"/>
  <c r="AM59" s="1"/>
  <c r="AC60"/>
  <c r="AP60" s="1"/>
  <c r="AC61"/>
  <c r="AM61" s="1"/>
  <c r="AC62"/>
  <c r="AP62" s="1"/>
  <c r="AC63"/>
  <c r="AM63" s="1"/>
  <c r="AC64"/>
  <c r="AP64" s="1"/>
  <c r="AC65"/>
  <c r="AM65" s="1"/>
  <c r="AC66"/>
  <c r="AP66" s="1"/>
  <c r="AC67"/>
  <c r="AM67" s="1"/>
  <c r="AC68"/>
  <c r="AP68" s="1"/>
  <c r="AC69"/>
  <c r="AM69" s="1"/>
  <c r="AC70"/>
  <c r="AP70" s="1"/>
  <c r="AC71"/>
  <c r="AM71" s="1"/>
  <c r="AC72"/>
  <c r="AP72" s="1"/>
  <c r="AC73"/>
  <c r="AM73" s="1"/>
  <c r="AC74"/>
  <c r="AP74" s="1"/>
  <c r="AC75"/>
  <c r="AM75" s="1"/>
  <c r="AC76"/>
  <c r="AP76" s="1"/>
  <c r="AC77"/>
  <c r="AM77" s="1"/>
  <c r="AC78"/>
  <c r="AP78" s="1"/>
  <c r="AC79"/>
  <c r="AM79" s="1"/>
  <c r="AC80"/>
  <c r="AP80" s="1"/>
  <c r="AC81"/>
  <c r="AM81" s="1"/>
  <c r="AC82"/>
  <c r="AP82" s="1"/>
  <c r="AC83"/>
  <c r="AM83" s="1"/>
  <c r="AC84"/>
  <c r="AP84" s="1"/>
  <c r="AC85"/>
  <c r="AM85" s="1"/>
  <c r="AC86"/>
  <c r="AP86" s="1"/>
  <c r="AC87"/>
  <c r="AM87" s="1"/>
  <c r="AC88"/>
  <c r="AP88" s="1"/>
  <c r="AC89"/>
  <c r="AM89" s="1"/>
  <c r="AC90"/>
  <c r="AP90" s="1"/>
  <c r="AC91"/>
  <c r="AM91" s="1"/>
  <c r="AC92"/>
  <c r="AP92" s="1"/>
  <c r="AC93"/>
  <c r="AM93" s="1"/>
  <c r="AC94"/>
  <c r="AP94" s="1"/>
  <c r="AC95"/>
  <c r="AM95" s="1"/>
  <c r="AC96"/>
  <c r="AP96" s="1"/>
  <c r="AC97"/>
  <c r="AM97" s="1"/>
  <c r="AC98"/>
  <c r="AP98" s="1"/>
  <c r="AC99"/>
  <c r="AM99" s="1"/>
  <c r="AC100"/>
  <c r="AP100" s="1"/>
  <c r="AC101"/>
  <c r="AM101" s="1"/>
  <c r="AC102"/>
  <c r="AP102" s="1"/>
  <c r="AC103"/>
  <c r="AM103" s="1"/>
  <c r="AC104"/>
  <c r="AP104" s="1"/>
  <c r="AC105"/>
  <c r="AM105" s="1"/>
  <c r="AC106"/>
  <c r="AP106" s="1"/>
  <c r="AC107"/>
  <c r="AM107" s="1"/>
  <c r="AC108"/>
  <c r="AP108" s="1"/>
  <c r="AC109"/>
  <c r="AM109" s="1"/>
  <c r="AC110"/>
  <c r="AP110" s="1"/>
  <c r="AC111"/>
  <c r="AM111" s="1"/>
  <c r="AC112"/>
  <c r="AP112" s="1"/>
  <c r="AC113"/>
  <c r="AM113" s="1"/>
  <c r="AC114"/>
  <c r="AP114" s="1"/>
  <c r="AC115"/>
  <c r="AM115" s="1"/>
  <c r="AC116"/>
  <c r="AP116" s="1"/>
  <c r="AC117"/>
  <c r="AM117" s="1"/>
  <c r="AC118"/>
  <c r="AP118" s="1"/>
  <c r="AC119"/>
  <c r="AM119" s="1"/>
  <c r="AC120"/>
  <c r="AP120" s="1"/>
  <c r="AC121"/>
  <c r="AM121" s="1"/>
  <c r="AC122"/>
  <c r="AP122" s="1"/>
  <c r="AC123"/>
  <c r="AM123" s="1"/>
  <c r="AC124"/>
  <c r="AP124" s="1"/>
  <c r="AC125"/>
  <c r="AM125" s="1"/>
  <c r="AC126"/>
  <c r="AP126" s="1"/>
  <c r="AC127"/>
  <c r="AM127" s="1"/>
  <c r="AC128"/>
  <c r="AP128" s="1"/>
  <c r="AC129"/>
  <c r="AM129" s="1"/>
  <c r="AC130"/>
  <c r="AP130" s="1"/>
  <c r="AC131"/>
  <c r="AM131" s="1"/>
  <c r="AC132"/>
  <c r="AP132" s="1"/>
  <c r="AC133"/>
  <c r="AM133" s="1"/>
  <c r="AC134"/>
  <c r="AP134" s="1"/>
  <c r="AC135"/>
  <c r="AM135" s="1"/>
  <c r="AC136"/>
  <c r="AP136" s="1"/>
  <c r="AC137"/>
  <c r="AM137" s="1"/>
  <c r="AC138"/>
  <c r="AP138" s="1"/>
  <c r="AC139"/>
  <c r="AM139" s="1"/>
  <c r="AC140"/>
  <c r="AP140" s="1"/>
  <c r="AC141"/>
  <c r="AM141" s="1"/>
  <c r="AC142"/>
  <c r="AP142" s="1"/>
  <c r="AC143"/>
  <c r="AM143" s="1"/>
  <c r="AC144"/>
  <c r="AP144" s="1"/>
  <c r="AC145"/>
  <c r="AM145" s="1"/>
  <c r="AC146"/>
  <c r="AP146" s="1"/>
  <c r="AC147"/>
  <c r="AM147" s="1"/>
  <c r="AC148"/>
  <c r="AP148" s="1"/>
  <c r="AC149"/>
  <c r="AM149" s="1"/>
  <c r="AC150"/>
  <c r="AP150" s="1"/>
  <c r="AC151"/>
  <c r="AM151" s="1"/>
  <c r="AC152"/>
  <c r="AP152" s="1"/>
  <c r="AC153"/>
  <c r="AM153" s="1"/>
  <c r="AC154"/>
  <c r="AP154" s="1"/>
  <c r="AC155"/>
  <c r="AM155" s="1"/>
  <c r="AC156"/>
  <c r="AP156" s="1"/>
  <c r="AC157"/>
  <c r="AM157" s="1"/>
  <c r="AC158"/>
  <c r="AP158" s="1"/>
  <c r="AC159"/>
  <c r="AM159" s="1"/>
  <c r="AC160"/>
  <c r="AP160" s="1"/>
  <c r="AC161"/>
  <c r="AM161" s="1"/>
  <c r="AC162"/>
  <c r="AP162" s="1"/>
  <c r="AC163"/>
  <c r="AM163" s="1"/>
  <c r="AC164"/>
  <c r="AP164" s="1"/>
  <c r="AC165"/>
  <c r="AM165" s="1"/>
  <c r="AC166"/>
  <c r="AP166" s="1"/>
  <c r="AC167"/>
  <c r="AM167" s="1"/>
  <c r="AC168"/>
  <c r="AP168" s="1"/>
  <c r="AC169"/>
  <c r="AM169" s="1"/>
  <c r="AC170"/>
  <c r="AP170" s="1"/>
  <c r="AC171"/>
  <c r="AM171" s="1"/>
  <c r="AC172"/>
  <c r="AP172" s="1"/>
  <c r="AC173"/>
  <c r="AM173" s="1"/>
  <c r="AC174"/>
  <c r="AP174" s="1"/>
  <c r="AC175"/>
  <c r="AM175" s="1"/>
  <c r="AC176"/>
  <c r="AP176" s="1"/>
  <c r="AC177"/>
  <c r="AM177" s="1"/>
  <c r="AC178"/>
  <c r="AP178" s="1"/>
  <c r="AC179"/>
  <c r="AM179" s="1"/>
  <c r="AC180"/>
  <c r="AP180" s="1"/>
  <c r="AC181"/>
  <c r="AM181" s="1"/>
  <c r="AC182"/>
  <c r="AP182" s="1"/>
  <c r="AC183"/>
  <c r="AM183" s="1"/>
  <c r="AC184"/>
  <c r="AP184" s="1"/>
  <c r="AC185"/>
  <c r="AM185" s="1"/>
  <c r="AC186"/>
  <c r="AP186" s="1"/>
  <c r="AC187"/>
  <c r="AM187" s="1"/>
  <c r="AC188"/>
  <c r="AP188" s="1"/>
  <c r="AC189"/>
  <c r="AM189" s="1"/>
  <c r="AC190"/>
  <c r="AP190" s="1"/>
  <c r="AC191"/>
  <c r="AM191" s="1"/>
  <c r="AC192"/>
  <c r="AP192" s="1"/>
  <c r="AC193"/>
  <c r="AM193" s="1"/>
  <c r="AC194"/>
  <c r="AP194" s="1"/>
  <c r="AC195"/>
  <c r="AM195" s="1"/>
  <c r="AC196"/>
  <c r="AP196" s="1"/>
  <c r="AC197"/>
  <c r="AM197" s="1"/>
  <c r="AC198"/>
  <c r="AP198" s="1"/>
  <c r="AC199"/>
  <c r="AM199" s="1"/>
  <c r="AC200"/>
  <c r="AP200" s="1"/>
  <c r="AC201"/>
  <c r="AM201" s="1"/>
  <c r="AC202"/>
  <c r="AP202" s="1"/>
  <c r="AC203"/>
  <c r="AM203" s="1"/>
  <c r="AC204"/>
  <c r="AP204" s="1"/>
  <c r="AC205"/>
  <c r="AM205" s="1"/>
  <c r="AC206"/>
  <c r="AP206" s="1"/>
  <c r="AC207"/>
  <c r="AM207" s="1"/>
  <c r="AC208"/>
  <c r="AP208" s="1"/>
  <c r="AC209"/>
  <c r="AM209" s="1"/>
  <c r="AC210"/>
  <c r="AP210" s="1"/>
  <c r="AC211"/>
  <c r="AM211" s="1"/>
  <c r="AC212"/>
  <c r="AP212" s="1"/>
  <c r="AC213"/>
  <c r="AM213" s="1"/>
  <c r="AC214"/>
  <c r="AP214" s="1"/>
  <c r="AC215"/>
  <c r="AM215" s="1"/>
  <c r="AC216"/>
  <c r="AP216" s="1"/>
  <c r="AC217"/>
  <c r="AM217" s="1"/>
  <c r="AC218"/>
  <c r="AP218" s="1"/>
  <c r="AC219"/>
  <c r="AM219" s="1"/>
  <c r="AC220"/>
  <c r="AP220" s="1"/>
  <c r="AC221"/>
  <c r="AM221" s="1"/>
  <c r="AC222"/>
  <c r="AP222" s="1"/>
  <c r="AC223"/>
  <c r="AM223" s="1"/>
  <c r="AC224"/>
  <c r="AP224" s="1"/>
  <c r="AD4"/>
  <c r="AQ4" s="1"/>
  <c r="AE4"/>
  <c r="AR4" s="1"/>
  <c r="AF4"/>
  <c r="AS4" s="1"/>
  <c r="AG4"/>
  <c r="AT4" s="1"/>
  <c r="AH4"/>
  <c r="AU4" s="1"/>
  <c r="AI4"/>
  <c r="AV4" s="1"/>
  <c r="AJ4"/>
  <c r="AW4" s="1"/>
  <c r="AK4"/>
  <c r="AX4" s="1"/>
  <c r="AL4"/>
  <c r="AY4" s="1"/>
  <c r="AC4"/>
  <c r="AP4" s="1"/>
  <c r="AC4" i="3"/>
  <c r="T233" i="2"/>
  <c r="O230"/>
  <c r="Z230" s="1"/>
  <c r="Y230"/>
  <c r="Y231"/>
  <c r="Y232"/>
  <c r="Y233"/>
  <c r="Y234"/>
  <c r="Y235"/>
  <c r="Y236"/>
  <c r="Y237"/>
  <c r="Y238"/>
  <c r="Y239"/>
  <c r="Y240"/>
  <c r="Y229"/>
  <c r="X230"/>
  <c r="X231"/>
  <c r="X232"/>
  <c r="X233"/>
  <c r="X234"/>
  <c r="X235"/>
  <c r="X236"/>
  <c r="X237"/>
  <c r="X238"/>
  <c r="X239"/>
  <c r="X240"/>
  <c r="X229"/>
  <c r="W230"/>
  <c r="W231"/>
  <c r="W232"/>
  <c r="W233"/>
  <c r="W234"/>
  <c r="W235"/>
  <c r="W236"/>
  <c r="W237"/>
  <c r="W238"/>
  <c r="W239"/>
  <c r="W240"/>
  <c r="W229"/>
  <c r="V230"/>
  <c r="V231"/>
  <c r="V232"/>
  <c r="V233"/>
  <c r="V234"/>
  <c r="V235"/>
  <c r="V236"/>
  <c r="V237"/>
  <c r="V238"/>
  <c r="V239"/>
  <c r="V240"/>
  <c r="V229"/>
  <c r="U230"/>
  <c r="U231"/>
  <c r="U232"/>
  <c r="U233"/>
  <c r="U234"/>
  <c r="U235"/>
  <c r="U236"/>
  <c r="U237"/>
  <c r="U238"/>
  <c r="U239"/>
  <c r="U240"/>
  <c r="U229"/>
  <c r="T230"/>
  <c r="T231"/>
  <c r="T232"/>
  <c r="T234"/>
  <c r="T235"/>
  <c r="T236"/>
  <c r="T237"/>
  <c r="T238"/>
  <c r="T239"/>
  <c r="T240"/>
  <c r="T229"/>
  <c r="S230"/>
  <c r="S231"/>
  <c r="S232"/>
  <c r="S233"/>
  <c r="S234"/>
  <c r="S235"/>
  <c r="S236"/>
  <c r="S237"/>
  <c r="S238"/>
  <c r="S239"/>
  <c r="S240"/>
  <c r="S229"/>
  <c r="R230"/>
  <c r="R231"/>
  <c r="R232"/>
  <c r="R233"/>
  <c r="R234"/>
  <c r="R235"/>
  <c r="R236"/>
  <c r="R237"/>
  <c r="R238"/>
  <c r="R239"/>
  <c r="R240"/>
  <c r="R229"/>
  <c r="Q230"/>
  <c r="Q231"/>
  <c r="Q232"/>
  <c r="Q233"/>
  <c r="Q234"/>
  <c r="Q235"/>
  <c r="Q236"/>
  <c r="Q237"/>
  <c r="Q238"/>
  <c r="Q239"/>
  <c r="Q240"/>
  <c r="Q229"/>
  <c r="P230"/>
  <c r="P231"/>
  <c r="P232"/>
  <c r="P233"/>
  <c r="P234"/>
  <c r="P235"/>
  <c r="P236"/>
  <c r="P237"/>
  <c r="P238"/>
  <c r="P239"/>
  <c r="P240"/>
  <c r="P229"/>
  <c r="O231"/>
  <c r="Z231" s="1"/>
  <c r="O232"/>
  <c r="Z232" s="1"/>
  <c r="O233"/>
  <c r="Z233" s="1"/>
  <c r="O234"/>
  <c r="Z234" s="1"/>
  <c r="O235"/>
  <c r="Z235" s="1"/>
  <c r="O236"/>
  <c r="Z236" s="1"/>
  <c r="O237"/>
  <c r="Z237" s="1"/>
  <c r="O238"/>
  <c r="Z238" s="1"/>
  <c r="O239"/>
  <c r="Z239" s="1"/>
  <c r="O240"/>
  <c r="Z240" s="1"/>
  <c r="O229"/>
  <c r="Z229" s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4"/>
  <c r="O5"/>
  <c r="Z5" s="1"/>
  <c r="O6"/>
  <c r="Z6" s="1"/>
  <c r="O7"/>
  <c r="Z7" s="1"/>
  <c r="O8"/>
  <c r="Z8" s="1"/>
  <c r="O9"/>
  <c r="Z9" s="1"/>
  <c r="O10"/>
  <c r="Z10" s="1"/>
  <c r="O11"/>
  <c r="Z11" s="1"/>
  <c r="O12"/>
  <c r="Z12" s="1"/>
  <c r="O13"/>
  <c r="Z13" s="1"/>
  <c r="O14"/>
  <c r="Z14" s="1"/>
  <c r="O15"/>
  <c r="Z15" s="1"/>
  <c r="O16"/>
  <c r="Z16" s="1"/>
  <c r="O17"/>
  <c r="Z17" s="1"/>
  <c r="O18"/>
  <c r="Z18" s="1"/>
  <c r="O19"/>
  <c r="Z19" s="1"/>
  <c r="O20"/>
  <c r="Z20" s="1"/>
  <c r="O21"/>
  <c r="Z21" s="1"/>
  <c r="O22"/>
  <c r="Z22" s="1"/>
  <c r="O23"/>
  <c r="Z23" s="1"/>
  <c r="O24"/>
  <c r="Z24" s="1"/>
  <c r="O25"/>
  <c r="Z25" s="1"/>
  <c r="O26"/>
  <c r="Z26" s="1"/>
  <c r="O27"/>
  <c r="Z27" s="1"/>
  <c r="O28"/>
  <c r="Z28" s="1"/>
  <c r="O29"/>
  <c r="Z29" s="1"/>
  <c r="O30"/>
  <c r="Z30" s="1"/>
  <c r="O31"/>
  <c r="Z31" s="1"/>
  <c r="O32"/>
  <c r="Z32" s="1"/>
  <c r="O33"/>
  <c r="Z33" s="1"/>
  <c r="O34"/>
  <c r="Z34" s="1"/>
  <c r="O35"/>
  <c r="Z35" s="1"/>
  <c r="O36"/>
  <c r="Z36" s="1"/>
  <c r="O37"/>
  <c r="Z37" s="1"/>
  <c r="O38"/>
  <c r="Z38" s="1"/>
  <c r="O39"/>
  <c r="Z39" s="1"/>
  <c r="O40"/>
  <c r="Z40" s="1"/>
  <c r="O41"/>
  <c r="Z41" s="1"/>
  <c r="O42"/>
  <c r="Z42" s="1"/>
  <c r="O43"/>
  <c r="Z43" s="1"/>
  <c r="O44"/>
  <c r="Z44" s="1"/>
  <c r="O45"/>
  <c r="Z45" s="1"/>
  <c r="O46"/>
  <c r="Z46" s="1"/>
  <c r="O47"/>
  <c r="Z47" s="1"/>
  <c r="O48"/>
  <c r="Z48" s="1"/>
  <c r="O49"/>
  <c r="Z49" s="1"/>
  <c r="O50"/>
  <c r="Z50" s="1"/>
  <c r="O51"/>
  <c r="Z51" s="1"/>
  <c r="O52"/>
  <c r="Z52" s="1"/>
  <c r="O53"/>
  <c r="Z53" s="1"/>
  <c r="O54"/>
  <c r="Z54" s="1"/>
  <c r="O55"/>
  <c r="Z55" s="1"/>
  <c r="O56"/>
  <c r="Z56" s="1"/>
  <c r="O57"/>
  <c r="Z57" s="1"/>
  <c r="O58"/>
  <c r="Z58" s="1"/>
  <c r="O59"/>
  <c r="Z59" s="1"/>
  <c r="O60"/>
  <c r="Z60" s="1"/>
  <c r="O61"/>
  <c r="Z61" s="1"/>
  <c r="O62"/>
  <c r="Z62" s="1"/>
  <c r="O63"/>
  <c r="Z63" s="1"/>
  <c r="O64"/>
  <c r="Z64" s="1"/>
  <c r="O65"/>
  <c r="Z65" s="1"/>
  <c r="O66"/>
  <c r="Z66" s="1"/>
  <c r="O67"/>
  <c r="Z67" s="1"/>
  <c r="O68"/>
  <c r="Z68" s="1"/>
  <c r="O69"/>
  <c r="Z69" s="1"/>
  <c r="O70"/>
  <c r="Z70" s="1"/>
  <c r="O71"/>
  <c r="Z71" s="1"/>
  <c r="O72"/>
  <c r="Z72" s="1"/>
  <c r="O73"/>
  <c r="Z73" s="1"/>
  <c r="O74"/>
  <c r="Z74" s="1"/>
  <c r="O75"/>
  <c r="Z75" s="1"/>
  <c r="O76"/>
  <c r="Z76" s="1"/>
  <c r="O77"/>
  <c r="Z77" s="1"/>
  <c r="O78"/>
  <c r="Z78" s="1"/>
  <c r="O79"/>
  <c r="Z79" s="1"/>
  <c r="O80"/>
  <c r="Z80" s="1"/>
  <c r="O81"/>
  <c r="Z81" s="1"/>
  <c r="O82"/>
  <c r="Z82" s="1"/>
  <c r="O83"/>
  <c r="Z83" s="1"/>
  <c r="O84"/>
  <c r="Z84" s="1"/>
  <c r="O85"/>
  <c r="Z85" s="1"/>
  <c r="O86"/>
  <c r="Z86" s="1"/>
  <c r="O87"/>
  <c r="Z87" s="1"/>
  <c r="O88"/>
  <c r="Z88" s="1"/>
  <c r="O89"/>
  <c r="Z89" s="1"/>
  <c r="O90"/>
  <c r="Z90" s="1"/>
  <c r="O91"/>
  <c r="Z91" s="1"/>
  <c r="O92"/>
  <c r="Z92" s="1"/>
  <c r="O93"/>
  <c r="Z93" s="1"/>
  <c r="O94"/>
  <c r="Z94" s="1"/>
  <c r="O95"/>
  <c r="Z95" s="1"/>
  <c r="O96"/>
  <c r="Z96" s="1"/>
  <c r="O97"/>
  <c r="Z97" s="1"/>
  <c r="O98"/>
  <c r="Z98" s="1"/>
  <c r="O99"/>
  <c r="Z99" s="1"/>
  <c r="O100"/>
  <c r="Z100" s="1"/>
  <c r="O101"/>
  <c r="Z101" s="1"/>
  <c r="O102"/>
  <c r="Z102" s="1"/>
  <c r="O103"/>
  <c r="Z103" s="1"/>
  <c r="O104"/>
  <c r="Z104" s="1"/>
  <c r="O105"/>
  <c r="Z105" s="1"/>
  <c r="O106"/>
  <c r="Z106" s="1"/>
  <c r="O107"/>
  <c r="Z107" s="1"/>
  <c r="O108"/>
  <c r="Z108" s="1"/>
  <c r="O109"/>
  <c r="Z109" s="1"/>
  <c r="O110"/>
  <c r="Z110" s="1"/>
  <c r="O111"/>
  <c r="Z111" s="1"/>
  <c r="O112"/>
  <c r="Z112" s="1"/>
  <c r="O113"/>
  <c r="Z113" s="1"/>
  <c r="O114"/>
  <c r="Z114" s="1"/>
  <c r="O115"/>
  <c r="Z115" s="1"/>
  <c r="O116"/>
  <c r="Z116" s="1"/>
  <c r="O117"/>
  <c r="Z117" s="1"/>
  <c r="O118"/>
  <c r="Z118" s="1"/>
  <c r="O119"/>
  <c r="Z119" s="1"/>
  <c r="O120"/>
  <c r="Z120" s="1"/>
  <c r="O121"/>
  <c r="Z121" s="1"/>
  <c r="O122"/>
  <c r="Z122" s="1"/>
  <c r="O123"/>
  <c r="Z123" s="1"/>
  <c r="O124"/>
  <c r="Z124" s="1"/>
  <c r="O125"/>
  <c r="Z125" s="1"/>
  <c r="O126"/>
  <c r="Z126" s="1"/>
  <c r="O127"/>
  <c r="Z127" s="1"/>
  <c r="O128"/>
  <c r="Z128" s="1"/>
  <c r="O129"/>
  <c r="Z129" s="1"/>
  <c r="O130"/>
  <c r="Z130" s="1"/>
  <c r="O131"/>
  <c r="Z131" s="1"/>
  <c r="O132"/>
  <c r="Z132" s="1"/>
  <c r="O133"/>
  <c r="Z133" s="1"/>
  <c r="O134"/>
  <c r="Z134" s="1"/>
  <c r="O135"/>
  <c r="Z135" s="1"/>
  <c r="O136"/>
  <c r="Z136" s="1"/>
  <c r="O137"/>
  <c r="Z137" s="1"/>
  <c r="O138"/>
  <c r="Z138" s="1"/>
  <c r="O139"/>
  <c r="Z139" s="1"/>
  <c r="O140"/>
  <c r="Z140" s="1"/>
  <c r="O141"/>
  <c r="Z141" s="1"/>
  <c r="O142"/>
  <c r="Z142" s="1"/>
  <c r="O143"/>
  <c r="Z143" s="1"/>
  <c r="O144"/>
  <c r="Z144" s="1"/>
  <c r="O145"/>
  <c r="Z145" s="1"/>
  <c r="O146"/>
  <c r="Z146" s="1"/>
  <c r="O147"/>
  <c r="Z147" s="1"/>
  <c r="O148"/>
  <c r="Z148" s="1"/>
  <c r="O149"/>
  <c r="Z149" s="1"/>
  <c r="O150"/>
  <c r="Z150" s="1"/>
  <c r="O151"/>
  <c r="Z151" s="1"/>
  <c r="O152"/>
  <c r="Z152" s="1"/>
  <c r="O153"/>
  <c r="Z153" s="1"/>
  <c r="O154"/>
  <c r="Z154" s="1"/>
  <c r="O155"/>
  <c r="Z155" s="1"/>
  <c r="O156"/>
  <c r="Z156" s="1"/>
  <c r="O157"/>
  <c r="Z157" s="1"/>
  <c r="O158"/>
  <c r="Z158" s="1"/>
  <c r="O159"/>
  <c r="Z159" s="1"/>
  <c r="O160"/>
  <c r="Z160" s="1"/>
  <c r="O161"/>
  <c r="Z161" s="1"/>
  <c r="O162"/>
  <c r="Z162" s="1"/>
  <c r="O163"/>
  <c r="Z163" s="1"/>
  <c r="O164"/>
  <c r="Z164" s="1"/>
  <c r="O165"/>
  <c r="Z165" s="1"/>
  <c r="O166"/>
  <c r="Z166" s="1"/>
  <c r="O167"/>
  <c r="Z167" s="1"/>
  <c r="O168"/>
  <c r="Z168" s="1"/>
  <c r="O169"/>
  <c r="Z169" s="1"/>
  <c r="O170"/>
  <c r="Z170" s="1"/>
  <c r="O171"/>
  <c r="Z171" s="1"/>
  <c r="O172"/>
  <c r="Z172" s="1"/>
  <c r="O173"/>
  <c r="Z173" s="1"/>
  <c r="O174"/>
  <c r="Z174" s="1"/>
  <c r="O175"/>
  <c r="Z175" s="1"/>
  <c r="O176"/>
  <c r="Z176" s="1"/>
  <c r="O177"/>
  <c r="Z177" s="1"/>
  <c r="O178"/>
  <c r="Z178" s="1"/>
  <c r="O179"/>
  <c r="Z179" s="1"/>
  <c r="O180"/>
  <c r="Z180" s="1"/>
  <c r="O181"/>
  <c r="Z181" s="1"/>
  <c r="O182"/>
  <c r="Z182" s="1"/>
  <c r="O183"/>
  <c r="Z183" s="1"/>
  <c r="O184"/>
  <c r="Z184" s="1"/>
  <c r="O185"/>
  <c r="Z185" s="1"/>
  <c r="O186"/>
  <c r="Z186" s="1"/>
  <c r="O187"/>
  <c r="Z187" s="1"/>
  <c r="O188"/>
  <c r="Z188" s="1"/>
  <c r="O189"/>
  <c r="Z189" s="1"/>
  <c r="O190"/>
  <c r="Z190" s="1"/>
  <c r="O191"/>
  <c r="Z191" s="1"/>
  <c r="O192"/>
  <c r="Z192" s="1"/>
  <c r="O193"/>
  <c r="Z193" s="1"/>
  <c r="O194"/>
  <c r="Z194" s="1"/>
  <c r="O195"/>
  <c r="Z195" s="1"/>
  <c r="O196"/>
  <c r="Z196" s="1"/>
  <c r="O197"/>
  <c r="Z197" s="1"/>
  <c r="O198"/>
  <c r="Z198" s="1"/>
  <c r="O199"/>
  <c r="Z199" s="1"/>
  <c r="O200"/>
  <c r="Z200" s="1"/>
  <c r="O201"/>
  <c r="Z201" s="1"/>
  <c r="O202"/>
  <c r="Z202" s="1"/>
  <c r="O203"/>
  <c r="Z203" s="1"/>
  <c r="O204"/>
  <c r="Z204" s="1"/>
  <c r="O205"/>
  <c r="Z205" s="1"/>
  <c r="O206"/>
  <c r="Z206" s="1"/>
  <c r="O207"/>
  <c r="Z207" s="1"/>
  <c r="O208"/>
  <c r="Z208" s="1"/>
  <c r="O209"/>
  <c r="Z209" s="1"/>
  <c r="O210"/>
  <c r="Z210" s="1"/>
  <c r="O211"/>
  <c r="Z211" s="1"/>
  <c r="O212"/>
  <c r="Z212" s="1"/>
  <c r="O213"/>
  <c r="Z213" s="1"/>
  <c r="O214"/>
  <c r="Z214" s="1"/>
  <c r="O215"/>
  <c r="Z215" s="1"/>
  <c r="O216"/>
  <c r="Z216" s="1"/>
  <c r="O217"/>
  <c r="Z217" s="1"/>
  <c r="O218"/>
  <c r="Z218" s="1"/>
  <c r="O219"/>
  <c r="Z219" s="1"/>
  <c r="O220"/>
  <c r="Z220" s="1"/>
  <c r="O221"/>
  <c r="Z221" s="1"/>
  <c r="O222"/>
  <c r="Z222" s="1"/>
  <c r="O223"/>
  <c r="Z223" s="1"/>
  <c r="O224"/>
  <c r="Z224" s="1"/>
  <c r="O225"/>
  <c r="Z225" s="1"/>
  <c r="O4"/>
  <c r="Z4" s="1"/>
  <c r="AP4" i="3"/>
  <c r="AZ4" i="2" l="1"/>
  <c r="AZ224"/>
  <c r="AZ222"/>
  <c r="AZ220"/>
  <c r="AZ218"/>
  <c r="AZ216"/>
  <c r="AZ214"/>
  <c r="AZ212"/>
  <c r="AZ210"/>
  <c r="AZ208"/>
  <c r="AZ206"/>
  <c r="AZ204"/>
  <c r="AZ202"/>
  <c r="AZ200"/>
  <c r="AZ198"/>
  <c r="AZ196"/>
  <c r="AZ194"/>
  <c r="AZ192"/>
  <c r="AZ190"/>
  <c r="AZ188"/>
  <c r="AZ186"/>
  <c r="AZ184"/>
  <c r="AZ182"/>
  <c r="AZ180"/>
  <c r="AZ178"/>
  <c r="AZ176"/>
  <c r="AZ174"/>
  <c r="AZ172"/>
  <c r="AZ170"/>
  <c r="AZ168"/>
  <c r="AZ166"/>
  <c r="AZ164"/>
  <c r="AZ162"/>
  <c r="AZ160"/>
  <c r="AZ158"/>
  <c r="AZ156"/>
  <c r="AZ154"/>
  <c r="AZ152"/>
  <c r="AZ150"/>
  <c r="AZ148"/>
  <c r="AZ146"/>
  <c r="AZ144"/>
  <c r="AZ142"/>
  <c r="AZ140"/>
  <c r="AZ138"/>
  <c r="AZ136"/>
  <c r="AZ134"/>
  <c r="AZ132"/>
  <c r="AZ130"/>
  <c r="AZ128"/>
  <c r="AZ126"/>
  <c r="AZ124"/>
  <c r="AZ122"/>
  <c r="AZ120"/>
  <c r="AZ118"/>
  <c r="AZ116"/>
  <c r="AZ114"/>
  <c r="AZ112"/>
  <c r="AZ110"/>
  <c r="AZ108"/>
  <c r="AZ106"/>
  <c r="AZ104"/>
  <c r="AZ102"/>
  <c r="AZ100"/>
  <c r="AZ98"/>
  <c r="AZ96"/>
  <c r="AZ94"/>
  <c r="AZ92"/>
  <c r="AZ90"/>
  <c r="AZ88"/>
  <c r="AZ86"/>
  <c r="AZ84"/>
  <c r="AZ82"/>
  <c r="AZ80"/>
  <c r="AZ78"/>
  <c r="AZ76"/>
  <c r="AZ74"/>
  <c r="AZ72"/>
  <c r="AZ70"/>
  <c r="AZ68"/>
  <c r="AZ66"/>
  <c r="AZ64"/>
  <c r="AZ62"/>
  <c r="AZ60"/>
  <c r="AZ58"/>
  <c r="AZ56"/>
  <c r="AZ54"/>
  <c r="AZ52"/>
  <c r="AZ50"/>
  <c r="AZ48"/>
  <c r="AZ46"/>
  <c r="AZ44"/>
  <c r="AZ42"/>
  <c r="AZ40"/>
  <c r="AZ38"/>
  <c r="AZ36"/>
  <c r="AZ34"/>
  <c r="AZ32"/>
  <c r="AZ30"/>
  <c r="AZ28"/>
  <c r="AZ26"/>
  <c r="AZ24"/>
  <c r="AZ22"/>
  <c r="AZ20"/>
  <c r="AZ18"/>
  <c r="AZ16"/>
  <c r="AZ14"/>
  <c r="AZ12"/>
  <c r="AZ10"/>
  <c r="AZ8"/>
  <c r="AZ6"/>
  <c r="AM4"/>
  <c r="AM224"/>
  <c r="AM222"/>
  <c r="AM220"/>
  <c r="AM218"/>
  <c r="AM216"/>
  <c r="AM214"/>
  <c r="AM212"/>
  <c r="AM210"/>
  <c r="AM208"/>
  <c r="AM206"/>
  <c r="AM204"/>
  <c r="AM202"/>
  <c r="AM200"/>
  <c r="AM198"/>
  <c r="AM196"/>
  <c r="AM194"/>
  <c r="AM192"/>
  <c r="AM190"/>
  <c r="AM188"/>
  <c r="AM186"/>
  <c r="AM184"/>
  <c r="AM182"/>
  <c r="AM180"/>
  <c r="AM178"/>
  <c r="AM176"/>
  <c r="AM174"/>
  <c r="AM172"/>
  <c r="AM170"/>
  <c r="AM168"/>
  <c r="AM166"/>
  <c r="AM164"/>
  <c r="AM162"/>
  <c r="AM160"/>
  <c r="AM158"/>
  <c r="AM156"/>
  <c r="AM154"/>
  <c r="AM152"/>
  <c r="AM150"/>
  <c r="AM148"/>
  <c r="AM146"/>
  <c r="AM144"/>
  <c r="AM142"/>
  <c r="AM140"/>
  <c r="AM138"/>
  <c r="AM136"/>
  <c r="AM134"/>
  <c r="AM132"/>
  <c r="AM130"/>
  <c r="AM128"/>
  <c r="AM126"/>
  <c r="AM124"/>
  <c r="AM122"/>
  <c r="AM120"/>
  <c r="AM118"/>
  <c r="AM116"/>
  <c r="AM114"/>
  <c r="AM112"/>
  <c r="AM110"/>
  <c r="AM108"/>
  <c r="AM106"/>
  <c r="AM104"/>
  <c r="AM102"/>
  <c r="AM100"/>
  <c r="AM98"/>
  <c r="AM96"/>
  <c r="AM94"/>
  <c r="AM92"/>
  <c r="AM90"/>
  <c r="AM88"/>
  <c r="AM86"/>
  <c r="AM84"/>
  <c r="AM82"/>
  <c r="AM80"/>
  <c r="AM78"/>
  <c r="AM76"/>
  <c r="AM74"/>
  <c r="AM72"/>
  <c r="AM70"/>
  <c r="AM68"/>
  <c r="AM66"/>
  <c r="AM64"/>
  <c r="AM62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Z229"/>
  <c r="AZ240"/>
  <c r="AZ238"/>
  <c r="AZ236"/>
  <c r="AZ234"/>
  <c r="AZ232"/>
  <c r="AZ230"/>
  <c r="AM229"/>
  <c r="AM239"/>
  <c r="AM237"/>
  <c r="AM235"/>
  <c r="AM233"/>
  <c r="AM231"/>
  <c r="AP223"/>
  <c r="AP221"/>
  <c r="AP219"/>
  <c r="AP217"/>
  <c r="AP215"/>
  <c r="AP213"/>
  <c r="AP211"/>
  <c r="AP209"/>
  <c r="AP207"/>
  <c r="AP205"/>
  <c r="AP203"/>
  <c r="AP201"/>
  <c r="AP199"/>
  <c r="AP197"/>
  <c r="AP195"/>
  <c r="AP193"/>
  <c r="AP191"/>
  <c r="AP189"/>
  <c r="AP187"/>
  <c r="AP185"/>
  <c r="AP183"/>
  <c r="AP181"/>
  <c r="AP179"/>
  <c r="AP177"/>
  <c r="AP175"/>
  <c r="AP173"/>
  <c r="AP171"/>
  <c r="AP169"/>
  <c r="AP167"/>
  <c r="AP165"/>
  <c r="AP163"/>
  <c r="AP161"/>
  <c r="AP159"/>
  <c r="AP157"/>
  <c r="AP155"/>
  <c r="AP153"/>
  <c r="AP151"/>
  <c r="AP149"/>
  <c r="AP147"/>
  <c r="AP145"/>
  <c r="AP143"/>
  <c r="AP141"/>
  <c r="AP139"/>
  <c r="AP137"/>
  <c r="AP135"/>
  <c r="AP133"/>
  <c r="AP131"/>
  <c r="AP129"/>
  <c r="AP127"/>
  <c r="AP125"/>
  <c r="AP123"/>
  <c r="AP121"/>
  <c r="AP119"/>
  <c r="AP117"/>
  <c r="AP115"/>
  <c r="AP113"/>
  <c r="AP111"/>
  <c r="AP109"/>
  <c r="AP107"/>
  <c r="AP105"/>
  <c r="AP103"/>
  <c r="AP101"/>
  <c r="AP99"/>
  <c r="AP97"/>
  <c r="AP95"/>
  <c r="AP93"/>
  <c r="AP91"/>
  <c r="AP89"/>
  <c r="AP87"/>
  <c r="AP85"/>
  <c r="AP83"/>
  <c r="AP81"/>
  <c r="AP79"/>
  <c r="AP77"/>
  <c r="AP75"/>
  <c r="AP73"/>
  <c r="AP71"/>
  <c r="AP69"/>
  <c r="AP67"/>
  <c r="AP65"/>
  <c r="AP63"/>
  <c r="AP61"/>
  <c r="AP59"/>
  <c r="AP57"/>
  <c r="AP55"/>
  <c r="AP53"/>
  <c r="AP51"/>
  <c r="AP49"/>
  <c r="AP47"/>
  <c r="AP45"/>
  <c r="AP43"/>
  <c r="AZ225"/>
  <c r="AZ223"/>
  <c r="AZ221"/>
  <c r="AZ219"/>
  <c r="AZ217"/>
  <c r="AZ215"/>
  <c r="AZ213"/>
  <c r="AZ211"/>
  <c r="AZ209"/>
  <c r="AZ207"/>
  <c r="AZ205"/>
  <c r="AZ203"/>
  <c r="AZ201"/>
  <c r="AZ199"/>
  <c r="AZ197"/>
  <c r="AZ195"/>
  <c r="AZ193"/>
  <c r="AZ191"/>
  <c r="AZ189"/>
  <c r="AZ187"/>
  <c r="AZ185"/>
  <c r="AZ183"/>
  <c r="AZ181"/>
  <c r="AZ179"/>
  <c r="AZ177"/>
  <c r="AZ175"/>
  <c r="AZ173"/>
  <c r="AZ171"/>
  <c r="AZ169"/>
  <c r="AZ167"/>
  <c r="AZ165"/>
  <c r="AZ163"/>
  <c r="AZ161"/>
  <c r="AZ159"/>
  <c r="AZ157"/>
  <c r="AZ155"/>
  <c r="AZ153"/>
  <c r="AZ151"/>
  <c r="AZ149"/>
  <c r="AZ147"/>
  <c r="AZ145"/>
  <c r="AZ143"/>
  <c r="AZ141"/>
  <c r="AZ139"/>
  <c r="AZ137"/>
  <c r="AZ135"/>
  <c r="AZ133"/>
  <c r="AZ131"/>
  <c r="AZ129"/>
  <c r="AZ127"/>
  <c r="AZ125"/>
  <c r="AZ123"/>
  <c r="AZ121"/>
  <c r="AZ119"/>
  <c r="AZ117"/>
  <c r="AZ115"/>
  <c r="AZ113"/>
  <c r="AZ111"/>
  <c r="AZ109"/>
  <c r="AZ107"/>
  <c r="AZ105"/>
  <c r="AZ103"/>
  <c r="AZ101"/>
  <c r="AZ99"/>
  <c r="AZ97"/>
  <c r="AZ95"/>
  <c r="AZ93"/>
  <c r="AZ91"/>
  <c r="AZ89"/>
  <c r="AZ87"/>
  <c r="AZ85"/>
  <c r="AZ83"/>
  <c r="AZ81"/>
  <c r="AZ79"/>
  <c r="AZ77"/>
  <c r="AZ75"/>
  <c r="AZ73"/>
  <c r="AZ71"/>
  <c r="AZ69"/>
  <c r="AZ67"/>
  <c r="AZ65"/>
  <c r="AZ63"/>
  <c r="AZ61"/>
  <c r="AZ59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AZ5"/>
  <c r="AM225"/>
  <c r="AM41"/>
  <c r="AM39"/>
  <c r="AM37"/>
  <c r="AM35"/>
  <c r="AM33"/>
  <c r="AM31"/>
  <c r="AM29"/>
  <c r="AM27"/>
  <c r="AM25"/>
  <c r="AM23"/>
  <c r="AM21"/>
  <c r="AM19"/>
  <c r="AM17"/>
  <c r="AM15"/>
  <c r="AM13"/>
  <c r="AM11"/>
  <c r="AM9"/>
  <c r="AM7"/>
  <c r="AM5"/>
  <c r="AZ239"/>
  <c r="AZ237"/>
  <c r="AZ235"/>
  <c r="AZ233"/>
  <c r="AZ231"/>
  <c r="AM240"/>
  <c r="AM238"/>
  <c r="AM236"/>
  <c r="AM234"/>
  <c r="AM232"/>
  <c r="AM230"/>
  <c r="E38" i="16"/>
  <c r="E112" s="1"/>
  <c r="D111"/>
  <c r="D118" s="1"/>
  <c r="D120" s="1"/>
  <c r="D128" s="1"/>
  <c r="D131" s="1"/>
  <c r="D87"/>
  <c r="E76" s="1"/>
  <c r="D86"/>
  <c r="D88"/>
  <c r="E85"/>
  <c r="F75"/>
  <c r="G75" s="1"/>
  <c r="H75" s="1"/>
  <c r="M137" i="1"/>
  <c r="M149"/>
  <c r="AL143" i="3"/>
  <c r="AY143" s="1"/>
  <c r="AL144"/>
  <c r="AY144" s="1"/>
  <c r="AL145"/>
  <c r="AY145" s="1"/>
  <c r="AL146"/>
  <c r="AY146" s="1"/>
  <c r="AL147"/>
  <c r="AY147" s="1"/>
  <c r="AL148"/>
  <c r="AY148" s="1"/>
  <c r="AL149"/>
  <c r="AY149" s="1"/>
  <c r="AL150"/>
  <c r="AY150" s="1"/>
  <c r="AL151"/>
  <c r="AY151" s="1"/>
  <c r="AL152"/>
  <c r="AY152" s="1"/>
  <c r="AL153"/>
  <c r="AY153" s="1"/>
  <c r="AK143"/>
  <c r="AX143" s="1"/>
  <c r="AK144"/>
  <c r="AX144" s="1"/>
  <c r="AK145"/>
  <c r="AX145" s="1"/>
  <c r="AK146"/>
  <c r="AX146" s="1"/>
  <c r="AK147"/>
  <c r="AX147" s="1"/>
  <c r="AK148"/>
  <c r="AX148" s="1"/>
  <c r="AK149"/>
  <c r="AX149" s="1"/>
  <c r="AK150"/>
  <c r="AX150" s="1"/>
  <c r="AK151"/>
  <c r="AX151" s="1"/>
  <c r="AK152"/>
  <c r="AX152" s="1"/>
  <c r="AK153"/>
  <c r="AX153" s="1"/>
  <c r="AJ143"/>
  <c r="AW143" s="1"/>
  <c r="AJ144"/>
  <c r="AW144" s="1"/>
  <c r="AJ145"/>
  <c r="AW145" s="1"/>
  <c r="AJ146"/>
  <c r="AW146" s="1"/>
  <c r="AJ147"/>
  <c r="AW147" s="1"/>
  <c r="AJ148"/>
  <c r="AW148" s="1"/>
  <c r="AJ149"/>
  <c r="AW149" s="1"/>
  <c r="AJ150"/>
  <c r="AW150" s="1"/>
  <c r="AJ151"/>
  <c r="AW151" s="1"/>
  <c r="AJ152"/>
  <c r="AW152" s="1"/>
  <c r="AJ153"/>
  <c r="AW153" s="1"/>
  <c r="AI143"/>
  <c r="AV143" s="1"/>
  <c r="AI144"/>
  <c r="AV144" s="1"/>
  <c r="AI145"/>
  <c r="AV145" s="1"/>
  <c r="AI146"/>
  <c r="AV146" s="1"/>
  <c r="AI147"/>
  <c r="AV147" s="1"/>
  <c r="AI148"/>
  <c r="AV148" s="1"/>
  <c r="AI149"/>
  <c r="AV149" s="1"/>
  <c r="AI150"/>
  <c r="AV150" s="1"/>
  <c r="AI151"/>
  <c r="AV151" s="1"/>
  <c r="AI152"/>
  <c r="AV152" s="1"/>
  <c r="AI153"/>
  <c r="AV153" s="1"/>
  <c r="AH143"/>
  <c r="AU143" s="1"/>
  <c r="AH144"/>
  <c r="AU144" s="1"/>
  <c r="AH145"/>
  <c r="AU145" s="1"/>
  <c r="AH146"/>
  <c r="AU146" s="1"/>
  <c r="AH147"/>
  <c r="AU147" s="1"/>
  <c r="AH148"/>
  <c r="AU148" s="1"/>
  <c r="AH149"/>
  <c r="AU149" s="1"/>
  <c r="AH150"/>
  <c r="AU150" s="1"/>
  <c r="AH151"/>
  <c r="AU151" s="1"/>
  <c r="AH152"/>
  <c r="AU152" s="1"/>
  <c r="AH153"/>
  <c r="AU153" s="1"/>
  <c r="AG143"/>
  <c r="AT143" s="1"/>
  <c r="AG144"/>
  <c r="AT144" s="1"/>
  <c r="AG145"/>
  <c r="AT145" s="1"/>
  <c r="AG146"/>
  <c r="AT146" s="1"/>
  <c r="AG147"/>
  <c r="AT147" s="1"/>
  <c r="AG148"/>
  <c r="AT148" s="1"/>
  <c r="AG149"/>
  <c r="AT149" s="1"/>
  <c r="AG150"/>
  <c r="AT150" s="1"/>
  <c r="AG151"/>
  <c r="AT151" s="1"/>
  <c r="AG152"/>
  <c r="AT152" s="1"/>
  <c r="AG153"/>
  <c r="AT153" s="1"/>
  <c r="AF143"/>
  <c r="AS143" s="1"/>
  <c r="AF144"/>
  <c r="AS144" s="1"/>
  <c r="AF145"/>
  <c r="AS145" s="1"/>
  <c r="AF146"/>
  <c r="AS146" s="1"/>
  <c r="AF147"/>
  <c r="AS147" s="1"/>
  <c r="AF148"/>
  <c r="AS148" s="1"/>
  <c r="AF149"/>
  <c r="AS149" s="1"/>
  <c r="AF150"/>
  <c r="AS150" s="1"/>
  <c r="AF151"/>
  <c r="AS151" s="1"/>
  <c r="AF152"/>
  <c r="AS152" s="1"/>
  <c r="AF153"/>
  <c r="AS153" s="1"/>
  <c r="AF142"/>
  <c r="AS142" s="1"/>
  <c r="AE143"/>
  <c r="AR143" s="1"/>
  <c r="AE144"/>
  <c r="AR144" s="1"/>
  <c r="AE145"/>
  <c r="AR145" s="1"/>
  <c r="AE146"/>
  <c r="AR146" s="1"/>
  <c r="AE147"/>
  <c r="AR147" s="1"/>
  <c r="AE148"/>
  <c r="AR148" s="1"/>
  <c r="AE149"/>
  <c r="AR149" s="1"/>
  <c r="AE150"/>
  <c r="AR150" s="1"/>
  <c r="AE151"/>
  <c r="AR151" s="1"/>
  <c r="AE152"/>
  <c r="AR152" s="1"/>
  <c r="AE153"/>
  <c r="AR153" s="1"/>
  <c r="AD143"/>
  <c r="AQ143" s="1"/>
  <c r="AD144"/>
  <c r="AQ144" s="1"/>
  <c r="AD145"/>
  <c r="AQ145" s="1"/>
  <c r="AD146"/>
  <c r="AQ146" s="1"/>
  <c r="AZ146" s="1"/>
  <c r="AD147"/>
  <c r="AQ147" s="1"/>
  <c r="AD148"/>
  <c r="AQ148" s="1"/>
  <c r="AD149"/>
  <c r="AQ149" s="1"/>
  <c r="AD150"/>
  <c r="AQ150" s="1"/>
  <c r="AZ150" s="1"/>
  <c r="AD151"/>
  <c r="AQ151" s="1"/>
  <c r="AD152"/>
  <c r="AQ152" s="1"/>
  <c r="AD153"/>
  <c r="AQ153" s="1"/>
  <c r="AC143"/>
  <c r="AP143" s="1"/>
  <c r="AZ143" s="1"/>
  <c r="AC144"/>
  <c r="AP144" s="1"/>
  <c r="AZ144" s="1"/>
  <c r="AC145"/>
  <c r="AP145" s="1"/>
  <c r="AZ145" s="1"/>
  <c r="AC146"/>
  <c r="AP146" s="1"/>
  <c r="AC147"/>
  <c r="AP147" s="1"/>
  <c r="AZ147" s="1"/>
  <c r="AC148"/>
  <c r="AP148" s="1"/>
  <c r="AZ148" s="1"/>
  <c r="AC149"/>
  <c r="AP149" s="1"/>
  <c r="AZ149" s="1"/>
  <c r="AC150"/>
  <c r="AP150" s="1"/>
  <c r="AC151"/>
  <c r="AP151" s="1"/>
  <c r="AZ151" s="1"/>
  <c r="AC152"/>
  <c r="AP152" s="1"/>
  <c r="AC153"/>
  <c r="AP153" s="1"/>
  <c r="AZ153" s="1"/>
  <c r="AD142"/>
  <c r="AQ142" s="1"/>
  <c r="AE142"/>
  <c r="AR142" s="1"/>
  <c r="AG142"/>
  <c r="AT142" s="1"/>
  <c r="AH142"/>
  <c r="AU142" s="1"/>
  <c r="AI142"/>
  <c r="AV142" s="1"/>
  <c r="AJ142"/>
  <c r="AW142" s="1"/>
  <c r="AK142"/>
  <c r="AX142" s="1"/>
  <c r="AL142"/>
  <c r="AY142" s="1"/>
  <c r="AC138"/>
  <c r="AP138" s="1"/>
  <c r="AC142"/>
  <c r="AP142" s="1"/>
  <c r="AH39"/>
  <c r="AU39" s="1"/>
  <c r="AH138"/>
  <c r="AU138" s="1"/>
  <c r="AL5"/>
  <c r="AY5" s="1"/>
  <c r="AL6"/>
  <c r="AY6" s="1"/>
  <c r="AL7"/>
  <c r="AY7" s="1"/>
  <c r="AL8"/>
  <c r="AY8" s="1"/>
  <c r="AL9"/>
  <c r="AY9" s="1"/>
  <c r="AL10"/>
  <c r="AY10" s="1"/>
  <c r="AL11"/>
  <c r="AY11" s="1"/>
  <c r="AL12"/>
  <c r="AY12" s="1"/>
  <c r="AL13"/>
  <c r="AY13" s="1"/>
  <c r="AL14"/>
  <c r="AY14" s="1"/>
  <c r="AL15"/>
  <c r="AY15" s="1"/>
  <c r="AL16"/>
  <c r="AY16" s="1"/>
  <c r="AL17"/>
  <c r="AY17" s="1"/>
  <c r="AL18"/>
  <c r="AY18" s="1"/>
  <c r="AL19"/>
  <c r="AY19" s="1"/>
  <c r="AL20"/>
  <c r="AY20" s="1"/>
  <c r="AL21"/>
  <c r="AY21" s="1"/>
  <c r="AL22"/>
  <c r="AY22" s="1"/>
  <c r="AL23"/>
  <c r="AY23" s="1"/>
  <c r="AL24"/>
  <c r="AY24" s="1"/>
  <c r="AL25"/>
  <c r="AY25" s="1"/>
  <c r="AL26"/>
  <c r="AY26" s="1"/>
  <c r="AL27"/>
  <c r="AY27" s="1"/>
  <c r="AL28"/>
  <c r="AY28" s="1"/>
  <c r="AL29"/>
  <c r="AY29" s="1"/>
  <c r="AL30"/>
  <c r="AY30" s="1"/>
  <c r="AL31"/>
  <c r="AY31" s="1"/>
  <c r="AL32"/>
  <c r="AY32" s="1"/>
  <c r="AL33"/>
  <c r="AY33" s="1"/>
  <c r="AL34"/>
  <c r="AY34" s="1"/>
  <c r="AL35"/>
  <c r="AY35" s="1"/>
  <c r="AL36"/>
  <c r="AY36" s="1"/>
  <c r="AL37"/>
  <c r="AY37" s="1"/>
  <c r="AL38"/>
  <c r="AY38" s="1"/>
  <c r="AL39"/>
  <c r="AY39" s="1"/>
  <c r="AL40"/>
  <c r="AY40" s="1"/>
  <c r="AL41"/>
  <c r="AY41" s="1"/>
  <c r="AL42"/>
  <c r="AY42" s="1"/>
  <c r="AL43"/>
  <c r="AY43" s="1"/>
  <c r="AL44"/>
  <c r="AY44" s="1"/>
  <c r="AL45"/>
  <c r="AY45" s="1"/>
  <c r="AL46"/>
  <c r="AY46" s="1"/>
  <c r="AL47"/>
  <c r="AY47" s="1"/>
  <c r="AL48"/>
  <c r="AY48" s="1"/>
  <c r="AL49"/>
  <c r="AY49" s="1"/>
  <c r="AL50"/>
  <c r="AY50" s="1"/>
  <c r="AL51"/>
  <c r="AY51" s="1"/>
  <c r="AL52"/>
  <c r="AY52" s="1"/>
  <c r="AL53"/>
  <c r="AY53" s="1"/>
  <c r="AL54"/>
  <c r="AY54" s="1"/>
  <c r="AL55"/>
  <c r="AY55" s="1"/>
  <c r="AL56"/>
  <c r="AY56" s="1"/>
  <c r="AL57"/>
  <c r="AY57" s="1"/>
  <c r="AL58"/>
  <c r="AY58" s="1"/>
  <c r="AL59"/>
  <c r="AY59" s="1"/>
  <c r="AL60"/>
  <c r="AY60" s="1"/>
  <c r="AL61"/>
  <c r="AY61" s="1"/>
  <c r="AL62"/>
  <c r="AY62" s="1"/>
  <c r="AL63"/>
  <c r="AY63" s="1"/>
  <c r="AL64"/>
  <c r="AY64" s="1"/>
  <c r="AL65"/>
  <c r="AY65" s="1"/>
  <c r="AL66"/>
  <c r="AY66" s="1"/>
  <c r="AL67"/>
  <c r="AY67" s="1"/>
  <c r="AL68"/>
  <c r="AY68" s="1"/>
  <c r="AL69"/>
  <c r="AY69" s="1"/>
  <c r="AL70"/>
  <c r="AY70" s="1"/>
  <c r="AL71"/>
  <c r="AY71" s="1"/>
  <c r="AL72"/>
  <c r="AY72" s="1"/>
  <c r="AL73"/>
  <c r="AY73" s="1"/>
  <c r="AL74"/>
  <c r="AY74" s="1"/>
  <c r="AL75"/>
  <c r="AY75" s="1"/>
  <c r="AL76"/>
  <c r="AY76" s="1"/>
  <c r="AL77"/>
  <c r="AY77" s="1"/>
  <c r="AL78"/>
  <c r="AY78" s="1"/>
  <c r="AL79"/>
  <c r="AY79" s="1"/>
  <c r="AL80"/>
  <c r="AY80" s="1"/>
  <c r="AL81"/>
  <c r="AY81" s="1"/>
  <c r="AL82"/>
  <c r="AY82" s="1"/>
  <c r="AL83"/>
  <c r="AY83" s="1"/>
  <c r="AL84"/>
  <c r="AY84" s="1"/>
  <c r="AL85"/>
  <c r="AY85" s="1"/>
  <c r="AL86"/>
  <c r="AY86" s="1"/>
  <c r="AL87"/>
  <c r="AY87" s="1"/>
  <c r="AL88"/>
  <c r="AY88" s="1"/>
  <c r="AL89"/>
  <c r="AY89" s="1"/>
  <c r="AL90"/>
  <c r="AY90" s="1"/>
  <c r="AL91"/>
  <c r="AY91" s="1"/>
  <c r="AL92"/>
  <c r="AY92" s="1"/>
  <c r="AL93"/>
  <c r="AY93" s="1"/>
  <c r="AL94"/>
  <c r="AY94" s="1"/>
  <c r="AL95"/>
  <c r="AY95" s="1"/>
  <c r="AL96"/>
  <c r="AY96" s="1"/>
  <c r="AL97"/>
  <c r="AY97" s="1"/>
  <c r="AL98"/>
  <c r="AY98" s="1"/>
  <c r="AL99"/>
  <c r="AY99" s="1"/>
  <c r="AL100"/>
  <c r="AY100" s="1"/>
  <c r="AL101"/>
  <c r="AY101" s="1"/>
  <c r="AL102"/>
  <c r="AY102" s="1"/>
  <c r="AL103"/>
  <c r="AY103" s="1"/>
  <c r="AL104"/>
  <c r="AY104" s="1"/>
  <c r="AL105"/>
  <c r="AY105" s="1"/>
  <c r="AL106"/>
  <c r="AY106" s="1"/>
  <c r="AL107"/>
  <c r="AY107" s="1"/>
  <c r="AL108"/>
  <c r="AY108" s="1"/>
  <c r="AL109"/>
  <c r="AY109" s="1"/>
  <c r="AL110"/>
  <c r="AY110" s="1"/>
  <c r="AL111"/>
  <c r="AY111" s="1"/>
  <c r="AL112"/>
  <c r="AY112" s="1"/>
  <c r="AL113"/>
  <c r="AY113" s="1"/>
  <c r="AL114"/>
  <c r="AY114" s="1"/>
  <c r="AL115"/>
  <c r="AY115" s="1"/>
  <c r="AL116"/>
  <c r="AY116" s="1"/>
  <c r="AL117"/>
  <c r="AY117" s="1"/>
  <c r="AL118"/>
  <c r="AY118" s="1"/>
  <c r="AL119"/>
  <c r="AY119" s="1"/>
  <c r="AL120"/>
  <c r="AY120" s="1"/>
  <c r="AL121"/>
  <c r="AY121" s="1"/>
  <c r="AL122"/>
  <c r="AY122" s="1"/>
  <c r="AL123"/>
  <c r="AY123" s="1"/>
  <c r="AL124"/>
  <c r="AY124" s="1"/>
  <c r="AL125"/>
  <c r="AY125" s="1"/>
  <c r="AL126"/>
  <c r="AY126" s="1"/>
  <c r="AL127"/>
  <c r="AY127" s="1"/>
  <c r="AL128"/>
  <c r="AY128" s="1"/>
  <c r="AL129"/>
  <c r="AY129" s="1"/>
  <c r="AL130"/>
  <c r="AY130" s="1"/>
  <c r="AL131"/>
  <c r="AY131" s="1"/>
  <c r="AL132"/>
  <c r="AY132" s="1"/>
  <c r="AL133"/>
  <c r="AY133" s="1"/>
  <c r="AL134"/>
  <c r="AY134" s="1"/>
  <c r="AL135"/>
  <c r="AY135" s="1"/>
  <c r="AL136"/>
  <c r="AY136" s="1"/>
  <c r="AL137"/>
  <c r="AY137" s="1"/>
  <c r="AL138"/>
  <c r="AY138" s="1"/>
  <c r="AL139"/>
  <c r="AL140"/>
  <c r="AK5"/>
  <c r="AX5" s="1"/>
  <c r="AK6"/>
  <c r="AX6" s="1"/>
  <c r="AK7"/>
  <c r="AX7" s="1"/>
  <c r="AK8"/>
  <c r="AX8" s="1"/>
  <c r="AK9"/>
  <c r="AX9" s="1"/>
  <c r="AK10"/>
  <c r="AX10" s="1"/>
  <c r="AK11"/>
  <c r="AX11" s="1"/>
  <c r="AK12"/>
  <c r="AX12" s="1"/>
  <c r="AK13"/>
  <c r="AX13" s="1"/>
  <c r="AK14"/>
  <c r="AX14" s="1"/>
  <c r="AK15"/>
  <c r="AX15" s="1"/>
  <c r="AK16"/>
  <c r="AX16" s="1"/>
  <c r="AK17"/>
  <c r="AX17" s="1"/>
  <c r="AK18"/>
  <c r="AX18" s="1"/>
  <c r="AK19"/>
  <c r="AX19" s="1"/>
  <c r="AK20"/>
  <c r="AX20" s="1"/>
  <c r="AK21"/>
  <c r="AX21" s="1"/>
  <c r="AK22"/>
  <c r="AX22" s="1"/>
  <c r="AK23"/>
  <c r="AX23" s="1"/>
  <c r="AK24"/>
  <c r="AX24" s="1"/>
  <c r="AK25"/>
  <c r="AX25" s="1"/>
  <c r="AK26"/>
  <c r="AX26" s="1"/>
  <c r="AK27"/>
  <c r="AX27" s="1"/>
  <c r="AK28"/>
  <c r="AX28" s="1"/>
  <c r="AK29"/>
  <c r="AX29" s="1"/>
  <c r="AK30"/>
  <c r="AX30" s="1"/>
  <c r="AK31"/>
  <c r="AX31" s="1"/>
  <c r="AK32"/>
  <c r="AX32" s="1"/>
  <c r="AK33"/>
  <c r="AX33" s="1"/>
  <c r="AK34"/>
  <c r="AX34" s="1"/>
  <c r="AK35"/>
  <c r="AX35" s="1"/>
  <c r="AK36"/>
  <c r="AX36" s="1"/>
  <c r="AK37"/>
  <c r="AX37" s="1"/>
  <c r="AK38"/>
  <c r="AX38" s="1"/>
  <c r="AK39"/>
  <c r="AX39" s="1"/>
  <c r="AK40"/>
  <c r="AX40" s="1"/>
  <c r="AK41"/>
  <c r="AX41" s="1"/>
  <c r="AK42"/>
  <c r="AX42" s="1"/>
  <c r="AK43"/>
  <c r="AX43" s="1"/>
  <c r="AK44"/>
  <c r="AX44" s="1"/>
  <c r="AK45"/>
  <c r="AX45" s="1"/>
  <c r="AK46"/>
  <c r="AX46" s="1"/>
  <c r="AK47"/>
  <c r="AX47" s="1"/>
  <c r="AK48"/>
  <c r="AX48" s="1"/>
  <c r="AK49"/>
  <c r="AX49" s="1"/>
  <c r="AK50"/>
  <c r="AX50" s="1"/>
  <c r="AK51"/>
  <c r="AX51" s="1"/>
  <c r="AK52"/>
  <c r="AX52" s="1"/>
  <c r="AK53"/>
  <c r="AX53" s="1"/>
  <c r="AK54"/>
  <c r="AX54" s="1"/>
  <c r="AK55"/>
  <c r="AX55" s="1"/>
  <c r="AK56"/>
  <c r="AX56" s="1"/>
  <c r="AK57"/>
  <c r="AX57" s="1"/>
  <c r="AK58"/>
  <c r="AX58" s="1"/>
  <c r="AK59"/>
  <c r="AX59" s="1"/>
  <c r="AK60"/>
  <c r="AX60" s="1"/>
  <c r="AK61"/>
  <c r="AX61" s="1"/>
  <c r="AK62"/>
  <c r="AX62" s="1"/>
  <c r="AK63"/>
  <c r="AX63" s="1"/>
  <c r="AK64"/>
  <c r="AX64" s="1"/>
  <c r="AK65"/>
  <c r="AX65" s="1"/>
  <c r="AK66"/>
  <c r="AX66" s="1"/>
  <c r="AK67"/>
  <c r="AX67" s="1"/>
  <c r="AK68"/>
  <c r="AX68" s="1"/>
  <c r="AK69"/>
  <c r="AX69" s="1"/>
  <c r="AK70"/>
  <c r="AX70" s="1"/>
  <c r="AK71"/>
  <c r="AX71" s="1"/>
  <c r="AK72"/>
  <c r="AX72" s="1"/>
  <c r="AK73"/>
  <c r="AX73" s="1"/>
  <c r="AK74"/>
  <c r="AX74" s="1"/>
  <c r="AK75"/>
  <c r="AX75" s="1"/>
  <c r="AK76"/>
  <c r="AX76" s="1"/>
  <c r="AK77"/>
  <c r="AX77" s="1"/>
  <c r="AK78"/>
  <c r="AX78" s="1"/>
  <c r="AK79"/>
  <c r="AX79" s="1"/>
  <c r="AK80"/>
  <c r="AX80" s="1"/>
  <c r="AK81"/>
  <c r="AX81" s="1"/>
  <c r="AK82"/>
  <c r="AX82" s="1"/>
  <c r="AK83"/>
  <c r="AX83" s="1"/>
  <c r="AK84"/>
  <c r="AX84" s="1"/>
  <c r="AK85"/>
  <c r="AX85" s="1"/>
  <c r="AK86"/>
  <c r="AX86" s="1"/>
  <c r="AK87"/>
  <c r="AX87" s="1"/>
  <c r="AK88"/>
  <c r="AX88" s="1"/>
  <c r="AK89"/>
  <c r="AX89" s="1"/>
  <c r="AK90"/>
  <c r="AX90" s="1"/>
  <c r="AK91"/>
  <c r="AX91" s="1"/>
  <c r="AK92"/>
  <c r="AX92" s="1"/>
  <c r="AK93"/>
  <c r="AX93" s="1"/>
  <c r="AK94"/>
  <c r="AX94" s="1"/>
  <c r="AK95"/>
  <c r="AX95" s="1"/>
  <c r="AK96"/>
  <c r="AX96" s="1"/>
  <c r="AK97"/>
  <c r="AX97" s="1"/>
  <c r="AK98"/>
  <c r="AX98" s="1"/>
  <c r="AK99"/>
  <c r="AX99" s="1"/>
  <c r="AK100"/>
  <c r="AX100" s="1"/>
  <c r="AK101"/>
  <c r="AX101" s="1"/>
  <c r="AK102"/>
  <c r="AX102" s="1"/>
  <c r="AK103"/>
  <c r="AX103" s="1"/>
  <c r="AK104"/>
  <c r="AX104" s="1"/>
  <c r="AK105"/>
  <c r="AX105" s="1"/>
  <c r="AK106"/>
  <c r="AX106" s="1"/>
  <c r="AK107"/>
  <c r="AX107" s="1"/>
  <c r="AK108"/>
  <c r="AX108" s="1"/>
  <c r="AK109"/>
  <c r="AX109" s="1"/>
  <c r="AK110"/>
  <c r="AX110" s="1"/>
  <c r="AK111"/>
  <c r="AX111" s="1"/>
  <c r="AK112"/>
  <c r="AX112" s="1"/>
  <c r="AK113"/>
  <c r="AX113" s="1"/>
  <c r="AK114"/>
  <c r="AX114" s="1"/>
  <c r="AK115"/>
  <c r="AX115" s="1"/>
  <c r="AK116"/>
  <c r="AX116" s="1"/>
  <c r="AK117"/>
  <c r="AX117" s="1"/>
  <c r="AK118"/>
  <c r="AX118" s="1"/>
  <c r="AK119"/>
  <c r="AX119" s="1"/>
  <c r="AK120"/>
  <c r="AX120" s="1"/>
  <c r="AK121"/>
  <c r="AX121" s="1"/>
  <c r="AK122"/>
  <c r="AX122" s="1"/>
  <c r="AK123"/>
  <c r="AX123" s="1"/>
  <c r="AK124"/>
  <c r="AX124" s="1"/>
  <c r="AK125"/>
  <c r="AX125" s="1"/>
  <c r="AK126"/>
  <c r="AX126" s="1"/>
  <c r="AK127"/>
  <c r="AX127" s="1"/>
  <c r="AK128"/>
  <c r="AX128" s="1"/>
  <c r="AK129"/>
  <c r="AX129" s="1"/>
  <c r="AK130"/>
  <c r="AX130" s="1"/>
  <c r="AK131"/>
  <c r="AX131" s="1"/>
  <c r="AK132"/>
  <c r="AX132" s="1"/>
  <c r="AK133"/>
  <c r="AX133" s="1"/>
  <c r="AK134"/>
  <c r="AX134" s="1"/>
  <c r="AK135"/>
  <c r="AX135" s="1"/>
  <c r="AK136"/>
  <c r="AX136" s="1"/>
  <c r="AK137"/>
  <c r="AX137" s="1"/>
  <c r="AK138"/>
  <c r="AX138" s="1"/>
  <c r="AK139"/>
  <c r="AK140"/>
  <c r="AJ5"/>
  <c r="AW5" s="1"/>
  <c r="AJ6"/>
  <c r="AW6" s="1"/>
  <c r="AJ7"/>
  <c r="AW7" s="1"/>
  <c r="AJ8"/>
  <c r="AW8" s="1"/>
  <c r="AJ9"/>
  <c r="AW9" s="1"/>
  <c r="AJ10"/>
  <c r="AW10" s="1"/>
  <c r="AJ11"/>
  <c r="AW11" s="1"/>
  <c r="AJ12"/>
  <c r="AW12" s="1"/>
  <c r="AJ13"/>
  <c r="AW13" s="1"/>
  <c r="AJ14"/>
  <c r="AW14" s="1"/>
  <c r="AJ15"/>
  <c r="AW15" s="1"/>
  <c r="AJ16"/>
  <c r="AW16" s="1"/>
  <c r="AJ17"/>
  <c r="AW17" s="1"/>
  <c r="AJ18"/>
  <c r="AW18" s="1"/>
  <c r="AJ19"/>
  <c r="AW19" s="1"/>
  <c r="AJ20"/>
  <c r="AW20" s="1"/>
  <c r="AJ21"/>
  <c r="AW21" s="1"/>
  <c r="AJ22"/>
  <c r="AW22" s="1"/>
  <c r="AJ23"/>
  <c r="AW23" s="1"/>
  <c r="AJ24"/>
  <c r="AW24" s="1"/>
  <c r="AJ25"/>
  <c r="AW25" s="1"/>
  <c r="AJ26"/>
  <c r="AW26" s="1"/>
  <c r="AJ27"/>
  <c r="AW27" s="1"/>
  <c r="AJ28"/>
  <c r="AW28" s="1"/>
  <c r="AJ29"/>
  <c r="AW29" s="1"/>
  <c r="AJ30"/>
  <c r="AW30" s="1"/>
  <c r="AJ31"/>
  <c r="AW31" s="1"/>
  <c r="AJ32"/>
  <c r="AW32" s="1"/>
  <c r="AJ33"/>
  <c r="AW33" s="1"/>
  <c r="AJ34"/>
  <c r="AW34" s="1"/>
  <c r="AJ35"/>
  <c r="AW35" s="1"/>
  <c r="AJ36"/>
  <c r="AW36" s="1"/>
  <c r="AJ37"/>
  <c r="AW37" s="1"/>
  <c r="AJ38"/>
  <c r="AW38" s="1"/>
  <c r="AJ39"/>
  <c r="AW39" s="1"/>
  <c r="AJ40"/>
  <c r="AW40" s="1"/>
  <c r="AJ41"/>
  <c r="AW41" s="1"/>
  <c r="AJ42"/>
  <c r="AW42" s="1"/>
  <c r="AJ43"/>
  <c r="AW43" s="1"/>
  <c r="AJ44"/>
  <c r="AW44" s="1"/>
  <c r="AJ45"/>
  <c r="AW45" s="1"/>
  <c r="AJ46"/>
  <c r="AW46" s="1"/>
  <c r="AJ47"/>
  <c r="AW47" s="1"/>
  <c r="AJ48"/>
  <c r="AW48" s="1"/>
  <c r="AJ49"/>
  <c r="AW49" s="1"/>
  <c r="AJ50"/>
  <c r="AW50" s="1"/>
  <c r="AJ51"/>
  <c r="AW51" s="1"/>
  <c r="AJ52"/>
  <c r="AW52" s="1"/>
  <c r="AJ53"/>
  <c r="AW53" s="1"/>
  <c r="AJ54"/>
  <c r="AW54" s="1"/>
  <c r="AJ55"/>
  <c r="AW55" s="1"/>
  <c r="AJ56"/>
  <c r="AW56" s="1"/>
  <c r="AJ57"/>
  <c r="AW57" s="1"/>
  <c r="AJ58"/>
  <c r="AW58" s="1"/>
  <c r="AJ59"/>
  <c r="AW59" s="1"/>
  <c r="AJ60"/>
  <c r="AW60" s="1"/>
  <c r="AJ61"/>
  <c r="AW61" s="1"/>
  <c r="AJ62"/>
  <c r="AW62" s="1"/>
  <c r="AJ63"/>
  <c r="AW63" s="1"/>
  <c r="AJ64"/>
  <c r="AW64" s="1"/>
  <c r="AJ65"/>
  <c r="AW65" s="1"/>
  <c r="AJ66"/>
  <c r="AW66" s="1"/>
  <c r="AJ67"/>
  <c r="AW67" s="1"/>
  <c r="AJ68"/>
  <c r="AW68" s="1"/>
  <c r="AJ69"/>
  <c r="AW69" s="1"/>
  <c r="AJ70"/>
  <c r="AW70" s="1"/>
  <c r="AJ71"/>
  <c r="AW71" s="1"/>
  <c r="AJ72"/>
  <c r="AW72" s="1"/>
  <c r="AJ73"/>
  <c r="AW73" s="1"/>
  <c r="AJ74"/>
  <c r="AW74" s="1"/>
  <c r="AJ75"/>
  <c r="AW75" s="1"/>
  <c r="AJ76"/>
  <c r="AW76" s="1"/>
  <c r="AJ77"/>
  <c r="AW77" s="1"/>
  <c r="AJ78"/>
  <c r="AW78" s="1"/>
  <c r="AJ79"/>
  <c r="AW79" s="1"/>
  <c r="AJ80"/>
  <c r="AW80" s="1"/>
  <c r="AJ81"/>
  <c r="AW81" s="1"/>
  <c r="AJ82"/>
  <c r="AW82" s="1"/>
  <c r="AJ83"/>
  <c r="AW83" s="1"/>
  <c r="AJ84"/>
  <c r="AW84" s="1"/>
  <c r="AJ85"/>
  <c r="AW85" s="1"/>
  <c r="AJ86"/>
  <c r="AW86" s="1"/>
  <c r="AJ87"/>
  <c r="AW87" s="1"/>
  <c r="AJ88"/>
  <c r="AW88" s="1"/>
  <c r="AJ89"/>
  <c r="AW89" s="1"/>
  <c r="AJ90"/>
  <c r="AW90" s="1"/>
  <c r="AJ91"/>
  <c r="AW91" s="1"/>
  <c r="AJ92"/>
  <c r="AW92" s="1"/>
  <c r="AJ93"/>
  <c r="AW93" s="1"/>
  <c r="AJ94"/>
  <c r="AW94" s="1"/>
  <c r="AJ95"/>
  <c r="AW95" s="1"/>
  <c r="AJ96"/>
  <c r="AW96" s="1"/>
  <c r="AJ97"/>
  <c r="AW97" s="1"/>
  <c r="AJ98"/>
  <c r="AW98" s="1"/>
  <c r="AJ99"/>
  <c r="AW99" s="1"/>
  <c r="AJ100"/>
  <c r="AW100" s="1"/>
  <c r="AJ101"/>
  <c r="AW101" s="1"/>
  <c r="AJ102"/>
  <c r="AW102" s="1"/>
  <c r="AJ103"/>
  <c r="AW103" s="1"/>
  <c r="AJ104"/>
  <c r="AW104" s="1"/>
  <c r="AJ105"/>
  <c r="AW105" s="1"/>
  <c r="AJ106"/>
  <c r="AW106" s="1"/>
  <c r="AJ107"/>
  <c r="AW107" s="1"/>
  <c r="AJ108"/>
  <c r="AW108" s="1"/>
  <c r="AJ109"/>
  <c r="AW109" s="1"/>
  <c r="AJ110"/>
  <c r="AW110" s="1"/>
  <c r="AJ111"/>
  <c r="AW111" s="1"/>
  <c r="AJ112"/>
  <c r="AW112" s="1"/>
  <c r="AJ113"/>
  <c r="AW113" s="1"/>
  <c r="AJ114"/>
  <c r="AW114" s="1"/>
  <c r="AJ115"/>
  <c r="AW115" s="1"/>
  <c r="AJ116"/>
  <c r="AW116" s="1"/>
  <c r="AJ117"/>
  <c r="AW117" s="1"/>
  <c r="AJ118"/>
  <c r="AW118" s="1"/>
  <c r="AJ119"/>
  <c r="AW119" s="1"/>
  <c r="AJ120"/>
  <c r="AW120" s="1"/>
  <c r="AJ121"/>
  <c r="AW121" s="1"/>
  <c r="AJ122"/>
  <c r="AW122" s="1"/>
  <c r="AJ123"/>
  <c r="AW123" s="1"/>
  <c r="AJ124"/>
  <c r="AW124" s="1"/>
  <c r="AJ125"/>
  <c r="AW125" s="1"/>
  <c r="AJ126"/>
  <c r="AW126" s="1"/>
  <c r="AJ127"/>
  <c r="AW127" s="1"/>
  <c r="AJ128"/>
  <c r="AW128" s="1"/>
  <c r="AJ129"/>
  <c r="AW129" s="1"/>
  <c r="AJ130"/>
  <c r="AW130" s="1"/>
  <c r="AJ131"/>
  <c r="AW131" s="1"/>
  <c r="AJ132"/>
  <c r="AW132" s="1"/>
  <c r="AJ133"/>
  <c r="AW133" s="1"/>
  <c r="AJ134"/>
  <c r="AW134" s="1"/>
  <c r="AJ135"/>
  <c r="AW135" s="1"/>
  <c r="AJ136"/>
  <c r="AW136" s="1"/>
  <c r="AJ137"/>
  <c r="AW137" s="1"/>
  <c r="AJ138"/>
  <c r="AW138" s="1"/>
  <c r="AJ139"/>
  <c r="AJ140"/>
  <c r="AI5"/>
  <c r="AV5" s="1"/>
  <c r="AI6"/>
  <c r="AV6" s="1"/>
  <c r="AI7"/>
  <c r="AV7" s="1"/>
  <c r="AI8"/>
  <c r="AV8" s="1"/>
  <c r="AI9"/>
  <c r="AV9" s="1"/>
  <c r="AI10"/>
  <c r="AV10" s="1"/>
  <c r="AI11"/>
  <c r="AV11" s="1"/>
  <c r="AI12"/>
  <c r="AV12" s="1"/>
  <c r="AI13"/>
  <c r="AV13" s="1"/>
  <c r="AI14"/>
  <c r="AV14" s="1"/>
  <c r="AI15"/>
  <c r="AV15" s="1"/>
  <c r="AI16"/>
  <c r="AV16" s="1"/>
  <c r="AI17"/>
  <c r="AV17" s="1"/>
  <c r="AI18"/>
  <c r="AV18" s="1"/>
  <c r="AI19"/>
  <c r="AV19" s="1"/>
  <c r="AI20"/>
  <c r="AV20" s="1"/>
  <c r="AI21"/>
  <c r="AV21" s="1"/>
  <c r="AI22"/>
  <c r="AV22" s="1"/>
  <c r="AI23"/>
  <c r="AV23" s="1"/>
  <c r="AI24"/>
  <c r="AV24" s="1"/>
  <c r="AI25"/>
  <c r="AV25" s="1"/>
  <c r="AI26"/>
  <c r="AV26" s="1"/>
  <c r="AI27"/>
  <c r="AV27" s="1"/>
  <c r="AI28"/>
  <c r="AV28" s="1"/>
  <c r="AI29"/>
  <c r="AV29" s="1"/>
  <c r="AI30"/>
  <c r="AV30" s="1"/>
  <c r="AI31"/>
  <c r="AV31" s="1"/>
  <c r="AI32"/>
  <c r="AV32" s="1"/>
  <c r="AI33"/>
  <c r="AV33" s="1"/>
  <c r="AI34"/>
  <c r="AV34" s="1"/>
  <c r="AI35"/>
  <c r="AV35" s="1"/>
  <c r="AI36"/>
  <c r="AV36" s="1"/>
  <c r="AI37"/>
  <c r="AV37" s="1"/>
  <c r="AI38"/>
  <c r="AV38" s="1"/>
  <c r="AI39"/>
  <c r="AV39" s="1"/>
  <c r="AI40"/>
  <c r="AV40" s="1"/>
  <c r="AI41"/>
  <c r="AV41" s="1"/>
  <c r="AI42"/>
  <c r="AV42" s="1"/>
  <c r="AI43"/>
  <c r="AV43" s="1"/>
  <c r="AI44"/>
  <c r="AV44" s="1"/>
  <c r="AI45"/>
  <c r="AV45" s="1"/>
  <c r="AI46"/>
  <c r="AV46" s="1"/>
  <c r="AI47"/>
  <c r="AV47" s="1"/>
  <c r="AI48"/>
  <c r="AV48" s="1"/>
  <c r="AI49"/>
  <c r="AV49" s="1"/>
  <c r="AI50"/>
  <c r="AV50" s="1"/>
  <c r="AI51"/>
  <c r="AV51" s="1"/>
  <c r="AI52"/>
  <c r="AV52" s="1"/>
  <c r="AI53"/>
  <c r="AV53" s="1"/>
  <c r="AI54"/>
  <c r="AV54" s="1"/>
  <c r="AI55"/>
  <c r="AV55" s="1"/>
  <c r="AI56"/>
  <c r="AV56" s="1"/>
  <c r="AI57"/>
  <c r="AV57" s="1"/>
  <c r="AI58"/>
  <c r="AV58" s="1"/>
  <c r="AI59"/>
  <c r="AV59" s="1"/>
  <c r="AI60"/>
  <c r="AV60" s="1"/>
  <c r="AI61"/>
  <c r="AV61" s="1"/>
  <c r="AI62"/>
  <c r="AV62" s="1"/>
  <c r="AI63"/>
  <c r="AV63" s="1"/>
  <c r="AI64"/>
  <c r="AV64" s="1"/>
  <c r="AI65"/>
  <c r="AV65" s="1"/>
  <c r="AI66"/>
  <c r="AV66" s="1"/>
  <c r="AI67"/>
  <c r="AV67" s="1"/>
  <c r="AI68"/>
  <c r="AV68" s="1"/>
  <c r="AI69"/>
  <c r="AV69" s="1"/>
  <c r="AI70"/>
  <c r="AV70" s="1"/>
  <c r="AI71"/>
  <c r="AV71" s="1"/>
  <c r="AI72"/>
  <c r="AV72" s="1"/>
  <c r="AI73"/>
  <c r="AV73" s="1"/>
  <c r="AI74"/>
  <c r="AV74" s="1"/>
  <c r="AI75"/>
  <c r="AV75" s="1"/>
  <c r="AI76"/>
  <c r="AV76" s="1"/>
  <c r="AI77"/>
  <c r="AV77" s="1"/>
  <c r="AI78"/>
  <c r="AV78" s="1"/>
  <c r="AI79"/>
  <c r="AV79" s="1"/>
  <c r="AI80"/>
  <c r="AV80" s="1"/>
  <c r="AI81"/>
  <c r="AV81" s="1"/>
  <c r="AI82"/>
  <c r="AV82" s="1"/>
  <c r="AI83"/>
  <c r="AV83" s="1"/>
  <c r="AI84"/>
  <c r="AV84" s="1"/>
  <c r="AI85"/>
  <c r="AV85" s="1"/>
  <c r="AI86"/>
  <c r="AV86" s="1"/>
  <c r="AI87"/>
  <c r="AV87" s="1"/>
  <c r="AI88"/>
  <c r="AV88" s="1"/>
  <c r="AI89"/>
  <c r="AV89" s="1"/>
  <c r="AI90"/>
  <c r="AV90" s="1"/>
  <c r="AI91"/>
  <c r="AV91" s="1"/>
  <c r="AI92"/>
  <c r="AV92" s="1"/>
  <c r="AI93"/>
  <c r="AV93" s="1"/>
  <c r="AI94"/>
  <c r="AV94" s="1"/>
  <c r="AI95"/>
  <c r="AV95" s="1"/>
  <c r="AI96"/>
  <c r="AV96" s="1"/>
  <c r="AI97"/>
  <c r="AV97" s="1"/>
  <c r="AI98"/>
  <c r="AV98" s="1"/>
  <c r="AI99"/>
  <c r="AV99" s="1"/>
  <c r="AI100"/>
  <c r="AV100" s="1"/>
  <c r="AI101"/>
  <c r="AV101" s="1"/>
  <c r="AI102"/>
  <c r="AV102" s="1"/>
  <c r="AI103"/>
  <c r="AV103" s="1"/>
  <c r="AI104"/>
  <c r="AV104" s="1"/>
  <c r="AI105"/>
  <c r="AV105" s="1"/>
  <c r="AI106"/>
  <c r="AV106" s="1"/>
  <c r="AI107"/>
  <c r="AV107" s="1"/>
  <c r="AI108"/>
  <c r="AV108" s="1"/>
  <c r="AI109"/>
  <c r="AV109" s="1"/>
  <c r="AI110"/>
  <c r="AV110" s="1"/>
  <c r="AI111"/>
  <c r="AV111" s="1"/>
  <c r="AI112"/>
  <c r="AV112" s="1"/>
  <c r="AI113"/>
  <c r="AV113" s="1"/>
  <c r="AI114"/>
  <c r="AV114" s="1"/>
  <c r="AI115"/>
  <c r="AV115" s="1"/>
  <c r="AI116"/>
  <c r="AV116" s="1"/>
  <c r="AI117"/>
  <c r="AV117" s="1"/>
  <c r="AI118"/>
  <c r="AV118" s="1"/>
  <c r="AI119"/>
  <c r="AV119" s="1"/>
  <c r="AI120"/>
  <c r="AV120" s="1"/>
  <c r="AI121"/>
  <c r="AV121" s="1"/>
  <c r="AI122"/>
  <c r="AV122" s="1"/>
  <c r="AI123"/>
  <c r="AV123" s="1"/>
  <c r="AI124"/>
  <c r="AV124" s="1"/>
  <c r="AI125"/>
  <c r="AV125" s="1"/>
  <c r="AI126"/>
  <c r="AV126" s="1"/>
  <c r="AI127"/>
  <c r="AV127" s="1"/>
  <c r="AI128"/>
  <c r="AV128" s="1"/>
  <c r="AI129"/>
  <c r="AV129" s="1"/>
  <c r="AI130"/>
  <c r="AV130" s="1"/>
  <c r="AI131"/>
  <c r="AV131" s="1"/>
  <c r="AI132"/>
  <c r="AV132" s="1"/>
  <c r="AI133"/>
  <c r="AV133" s="1"/>
  <c r="AI134"/>
  <c r="AV134" s="1"/>
  <c r="AI135"/>
  <c r="AV135" s="1"/>
  <c r="AI136"/>
  <c r="AV136" s="1"/>
  <c r="AI137"/>
  <c r="AV137" s="1"/>
  <c r="AI138"/>
  <c r="AV138" s="1"/>
  <c r="AI139"/>
  <c r="AI140"/>
  <c r="AH5"/>
  <c r="AU5" s="1"/>
  <c r="AH6"/>
  <c r="AU6" s="1"/>
  <c r="AH7"/>
  <c r="AU7" s="1"/>
  <c r="AH8"/>
  <c r="AU8" s="1"/>
  <c r="AH9"/>
  <c r="AU9" s="1"/>
  <c r="AH10"/>
  <c r="AU10" s="1"/>
  <c r="AH11"/>
  <c r="AU11" s="1"/>
  <c r="AH12"/>
  <c r="AU12" s="1"/>
  <c r="AH13"/>
  <c r="AU13" s="1"/>
  <c r="AH14"/>
  <c r="AU14" s="1"/>
  <c r="AH15"/>
  <c r="AU15" s="1"/>
  <c r="AH16"/>
  <c r="AU16" s="1"/>
  <c r="AH17"/>
  <c r="AU17" s="1"/>
  <c r="AH18"/>
  <c r="AU18" s="1"/>
  <c r="AH19"/>
  <c r="AU19" s="1"/>
  <c r="AH20"/>
  <c r="AU20" s="1"/>
  <c r="AH21"/>
  <c r="AU21" s="1"/>
  <c r="AH22"/>
  <c r="AU22" s="1"/>
  <c r="AH23"/>
  <c r="AU23" s="1"/>
  <c r="AH24"/>
  <c r="AU24" s="1"/>
  <c r="AH25"/>
  <c r="AU25" s="1"/>
  <c r="AH26"/>
  <c r="AU26" s="1"/>
  <c r="AH27"/>
  <c r="AU27" s="1"/>
  <c r="AH28"/>
  <c r="AU28" s="1"/>
  <c r="AH29"/>
  <c r="AU29" s="1"/>
  <c r="AH30"/>
  <c r="AU30" s="1"/>
  <c r="AH31"/>
  <c r="AU31" s="1"/>
  <c r="AH32"/>
  <c r="AU32" s="1"/>
  <c r="AH33"/>
  <c r="AU33" s="1"/>
  <c r="AH34"/>
  <c r="AU34" s="1"/>
  <c r="AH35"/>
  <c r="AU35" s="1"/>
  <c r="AH36"/>
  <c r="AU36" s="1"/>
  <c r="AH37"/>
  <c r="AU37" s="1"/>
  <c r="AH38"/>
  <c r="AU38" s="1"/>
  <c r="AH40"/>
  <c r="AU40" s="1"/>
  <c r="AH41"/>
  <c r="AU41" s="1"/>
  <c r="AH42"/>
  <c r="AU42" s="1"/>
  <c r="AH43"/>
  <c r="AU43" s="1"/>
  <c r="AH44"/>
  <c r="AU44" s="1"/>
  <c r="AH45"/>
  <c r="AU45" s="1"/>
  <c r="AH46"/>
  <c r="AU46" s="1"/>
  <c r="AH47"/>
  <c r="AU47" s="1"/>
  <c r="AH48"/>
  <c r="AU48" s="1"/>
  <c r="AH49"/>
  <c r="AU49" s="1"/>
  <c r="AH50"/>
  <c r="AU50" s="1"/>
  <c r="AH51"/>
  <c r="AU51" s="1"/>
  <c r="AH52"/>
  <c r="AU52" s="1"/>
  <c r="AH53"/>
  <c r="AU53" s="1"/>
  <c r="AH54"/>
  <c r="AU54" s="1"/>
  <c r="AH55"/>
  <c r="AU55" s="1"/>
  <c r="AH56"/>
  <c r="AU56" s="1"/>
  <c r="AH57"/>
  <c r="AU57" s="1"/>
  <c r="AH58"/>
  <c r="AU58" s="1"/>
  <c r="AH59"/>
  <c r="AU59" s="1"/>
  <c r="AH60"/>
  <c r="AU60" s="1"/>
  <c r="AH61"/>
  <c r="AU61" s="1"/>
  <c r="AH62"/>
  <c r="AU62" s="1"/>
  <c r="AH63"/>
  <c r="AU63" s="1"/>
  <c r="AH64"/>
  <c r="AU64" s="1"/>
  <c r="AH65"/>
  <c r="AU65" s="1"/>
  <c r="AH66"/>
  <c r="AU66" s="1"/>
  <c r="AH67"/>
  <c r="AU67" s="1"/>
  <c r="AH68"/>
  <c r="AU68" s="1"/>
  <c r="AH69"/>
  <c r="AU69" s="1"/>
  <c r="AH70"/>
  <c r="AU70" s="1"/>
  <c r="AH71"/>
  <c r="AU71" s="1"/>
  <c r="AH72"/>
  <c r="AU72" s="1"/>
  <c r="AH73"/>
  <c r="AU73" s="1"/>
  <c r="AH74"/>
  <c r="AU74" s="1"/>
  <c r="AH75"/>
  <c r="AU75" s="1"/>
  <c r="AH76"/>
  <c r="AU76" s="1"/>
  <c r="AH77"/>
  <c r="AU77" s="1"/>
  <c r="AH78"/>
  <c r="AU78" s="1"/>
  <c r="AH79"/>
  <c r="AU79" s="1"/>
  <c r="AH80"/>
  <c r="AU80" s="1"/>
  <c r="AH81"/>
  <c r="AU81" s="1"/>
  <c r="AH82"/>
  <c r="AU82" s="1"/>
  <c r="AH83"/>
  <c r="AU83" s="1"/>
  <c r="AH84"/>
  <c r="AU84" s="1"/>
  <c r="AH85"/>
  <c r="AU85" s="1"/>
  <c r="AH86"/>
  <c r="AU86" s="1"/>
  <c r="AH87"/>
  <c r="AU87" s="1"/>
  <c r="AH88"/>
  <c r="AU88" s="1"/>
  <c r="AH89"/>
  <c r="AU89" s="1"/>
  <c r="AH90"/>
  <c r="AU90" s="1"/>
  <c r="AH91"/>
  <c r="AU91" s="1"/>
  <c r="AH92"/>
  <c r="AU92" s="1"/>
  <c r="AH93"/>
  <c r="AU93" s="1"/>
  <c r="AH94"/>
  <c r="AU94" s="1"/>
  <c r="AH95"/>
  <c r="AU95" s="1"/>
  <c r="AH96"/>
  <c r="AU96" s="1"/>
  <c r="AH97"/>
  <c r="AU97" s="1"/>
  <c r="AH98"/>
  <c r="AU98" s="1"/>
  <c r="AH99"/>
  <c r="AU99" s="1"/>
  <c r="AH100"/>
  <c r="AU100" s="1"/>
  <c r="AH101"/>
  <c r="AU101" s="1"/>
  <c r="AH102"/>
  <c r="AU102" s="1"/>
  <c r="AH103"/>
  <c r="AU103" s="1"/>
  <c r="AH104"/>
  <c r="AU104" s="1"/>
  <c r="AH105"/>
  <c r="AU105" s="1"/>
  <c r="AH106"/>
  <c r="AU106" s="1"/>
  <c r="AH107"/>
  <c r="AU107" s="1"/>
  <c r="AH108"/>
  <c r="AU108" s="1"/>
  <c r="AH109"/>
  <c r="AU109" s="1"/>
  <c r="AH110"/>
  <c r="AU110" s="1"/>
  <c r="AH111"/>
  <c r="AU111" s="1"/>
  <c r="AH112"/>
  <c r="AU112" s="1"/>
  <c r="AH113"/>
  <c r="AU113" s="1"/>
  <c r="AH114"/>
  <c r="AU114" s="1"/>
  <c r="AH115"/>
  <c r="AU115" s="1"/>
  <c r="AH116"/>
  <c r="AU116" s="1"/>
  <c r="AH117"/>
  <c r="AU117" s="1"/>
  <c r="AH118"/>
  <c r="AU118" s="1"/>
  <c r="AH119"/>
  <c r="AU119" s="1"/>
  <c r="AH120"/>
  <c r="AU120" s="1"/>
  <c r="AH121"/>
  <c r="AU121" s="1"/>
  <c r="AH122"/>
  <c r="AU122" s="1"/>
  <c r="AH123"/>
  <c r="AU123" s="1"/>
  <c r="AH124"/>
  <c r="AU124" s="1"/>
  <c r="AH125"/>
  <c r="AU125" s="1"/>
  <c r="AH126"/>
  <c r="AU126" s="1"/>
  <c r="AH127"/>
  <c r="AU127" s="1"/>
  <c r="AH128"/>
  <c r="AU128" s="1"/>
  <c r="AH129"/>
  <c r="AU129" s="1"/>
  <c r="AH130"/>
  <c r="AU130" s="1"/>
  <c r="AH131"/>
  <c r="AU131" s="1"/>
  <c r="AH132"/>
  <c r="AU132" s="1"/>
  <c r="AH133"/>
  <c r="AU133" s="1"/>
  <c r="AH134"/>
  <c r="AU134" s="1"/>
  <c r="AH135"/>
  <c r="AU135" s="1"/>
  <c r="AH136"/>
  <c r="AU136" s="1"/>
  <c r="AH137"/>
  <c r="AU137" s="1"/>
  <c r="AH139"/>
  <c r="AH140"/>
  <c r="AG5"/>
  <c r="AT5" s="1"/>
  <c r="AG6"/>
  <c r="AT6" s="1"/>
  <c r="AG7"/>
  <c r="AT7" s="1"/>
  <c r="AG8"/>
  <c r="AT8" s="1"/>
  <c r="AG9"/>
  <c r="AT9" s="1"/>
  <c r="AG10"/>
  <c r="AT10" s="1"/>
  <c r="AG11"/>
  <c r="AT11" s="1"/>
  <c r="AG12"/>
  <c r="AT12" s="1"/>
  <c r="AG13"/>
  <c r="AT13" s="1"/>
  <c r="AG14"/>
  <c r="AT14" s="1"/>
  <c r="AG15"/>
  <c r="AT15" s="1"/>
  <c r="AG16"/>
  <c r="AT16" s="1"/>
  <c r="AG17"/>
  <c r="AT17" s="1"/>
  <c r="AG18"/>
  <c r="AT18" s="1"/>
  <c r="AG19"/>
  <c r="AT19" s="1"/>
  <c r="AG20"/>
  <c r="AT20" s="1"/>
  <c r="AG21"/>
  <c r="AT21" s="1"/>
  <c r="AG22"/>
  <c r="AT22" s="1"/>
  <c r="AG23"/>
  <c r="AT23" s="1"/>
  <c r="AG24"/>
  <c r="AT24" s="1"/>
  <c r="AG25"/>
  <c r="AT25" s="1"/>
  <c r="AG26"/>
  <c r="AT26" s="1"/>
  <c r="AG27"/>
  <c r="AT27" s="1"/>
  <c r="AG28"/>
  <c r="AT28" s="1"/>
  <c r="AG29"/>
  <c r="AT29" s="1"/>
  <c r="AG30"/>
  <c r="AT30" s="1"/>
  <c r="AG31"/>
  <c r="AT31" s="1"/>
  <c r="AG32"/>
  <c r="AT32" s="1"/>
  <c r="AG33"/>
  <c r="AT33" s="1"/>
  <c r="AG34"/>
  <c r="AT34" s="1"/>
  <c r="AG35"/>
  <c r="AT35" s="1"/>
  <c r="AG36"/>
  <c r="AT36" s="1"/>
  <c r="AG37"/>
  <c r="AT37" s="1"/>
  <c r="AG38"/>
  <c r="AT38" s="1"/>
  <c r="AG39"/>
  <c r="AT39" s="1"/>
  <c r="AG40"/>
  <c r="AT40" s="1"/>
  <c r="AG41"/>
  <c r="AT41" s="1"/>
  <c r="AG42"/>
  <c r="AT42" s="1"/>
  <c r="AG43"/>
  <c r="AT43" s="1"/>
  <c r="AG44"/>
  <c r="AT44" s="1"/>
  <c r="AG45"/>
  <c r="AT45" s="1"/>
  <c r="AG46"/>
  <c r="AT46" s="1"/>
  <c r="AG47"/>
  <c r="AT47" s="1"/>
  <c r="AG48"/>
  <c r="AT48" s="1"/>
  <c r="AG49"/>
  <c r="AT49" s="1"/>
  <c r="AG50"/>
  <c r="AT50" s="1"/>
  <c r="AG51"/>
  <c r="AT51" s="1"/>
  <c r="AG52"/>
  <c r="AT52" s="1"/>
  <c r="AG53"/>
  <c r="AT53" s="1"/>
  <c r="AG54"/>
  <c r="AT54" s="1"/>
  <c r="AG55"/>
  <c r="AT55" s="1"/>
  <c r="AG56"/>
  <c r="AT56" s="1"/>
  <c r="AG57"/>
  <c r="AT57" s="1"/>
  <c r="AG58"/>
  <c r="AT58" s="1"/>
  <c r="AG59"/>
  <c r="AT59" s="1"/>
  <c r="AG60"/>
  <c r="AT60" s="1"/>
  <c r="AG61"/>
  <c r="AT61" s="1"/>
  <c r="AG62"/>
  <c r="AT62" s="1"/>
  <c r="AG63"/>
  <c r="AT63" s="1"/>
  <c r="AG64"/>
  <c r="AT64" s="1"/>
  <c r="AG65"/>
  <c r="AT65" s="1"/>
  <c r="AG66"/>
  <c r="AT66" s="1"/>
  <c r="AG67"/>
  <c r="AT67" s="1"/>
  <c r="AG68"/>
  <c r="AT68" s="1"/>
  <c r="AG69"/>
  <c r="AT69" s="1"/>
  <c r="AG70"/>
  <c r="AT70" s="1"/>
  <c r="AG71"/>
  <c r="AT71" s="1"/>
  <c r="AG72"/>
  <c r="AT72" s="1"/>
  <c r="AG73"/>
  <c r="AT73" s="1"/>
  <c r="AG74"/>
  <c r="AT74" s="1"/>
  <c r="AG75"/>
  <c r="AT75" s="1"/>
  <c r="AG76"/>
  <c r="AT76" s="1"/>
  <c r="AG77"/>
  <c r="AT77" s="1"/>
  <c r="AG78"/>
  <c r="AT78" s="1"/>
  <c r="AG79"/>
  <c r="AT79" s="1"/>
  <c r="AG80"/>
  <c r="AT80" s="1"/>
  <c r="AG81"/>
  <c r="AT81" s="1"/>
  <c r="AG82"/>
  <c r="AT82" s="1"/>
  <c r="AG83"/>
  <c r="AT83" s="1"/>
  <c r="AG84"/>
  <c r="AT84" s="1"/>
  <c r="AG85"/>
  <c r="AT85" s="1"/>
  <c r="AG86"/>
  <c r="AT86" s="1"/>
  <c r="AG87"/>
  <c r="AT87" s="1"/>
  <c r="AG88"/>
  <c r="AT88" s="1"/>
  <c r="AG89"/>
  <c r="AT89" s="1"/>
  <c r="AG90"/>
  <c r="AT90" s="1"/>
  <c r="AG91"/>
  <c r="AT91" s="1"/>
  <c r="AG92"/>
  <c r="AT92" s="1"/>
  <c r="AG93"/>
  <c r="AT93" s="1"/>
  <c r="AG94"/>
  <c r="AT94" s="1"/>
  <c r="AG95"/>
  <c r="AT95" s="1"/>
  <c r="AG96"/>
  <c r="AT96" s="1"/>
  <c r="AG97"/>
  <c r="AT97" s="1"/>
  <c r="AG98"/>
  <c r="AT98" s="1"/>
  <c r="AG99"/>
  <c r="AT99" s="1"/>
  <c r="AG100"/>
  <c r="AT100" s="1"/>
  <c r="AG101"/>
  <c r="AT101" s="1"/>
  <c r="AG102"/>
  <c r="AT102" s="1"/>
  <c r="AG103"/>
  <c r="AT103" s="1"/>
  <c r="AG104"/>
  <c r="AT104" s="1"/>
  <c r="AG105"/>
  <c r="AT105" s="1"/>
  <c r="AG106"/>
  <c r="AT106" s="1"/>
  <c r="AG107"/>
  <c r="AT107" s="1"/>
  <c r="AG108"/>
  <c r="AT108" s="1"/>
  <c r="AG109"/>
  <c r="AT109" s="1"/>
  <c r="AG110"/>
  <c r="AT110" s="1"/>
  <c r="AG111"/>
  <c r="AT111" s="1"/>
  <c r="AG112"/>
  <c r="AT112" s="1"/>
  <c r="AG113"/>
  <c r="AT113" s="1"/>
  <c r="AG114"/>
  <c r="AT114" s="1"/>
  <c r="AG115"/>
  <c r="AT115" s="1"/>
  <c r="AG116"/>
  <c r="AT116" s="1"/>
  <c r="AG117"/>
  <c r="AT117" s="1"/>
  <c r="AG118"/>
  <c r="AT118" s="1"/>
  <c r="AG119"/>
  <c r="AT119" s="1"/>
  <c r="AG120"/>
  <c r="AT120" s="1"/>
  <c r="AG121"/>
  <c r="AT121" s="1"/>
  <c r="AG122"/>
  <c r="AT122" s="1"/>
  <c r="AG123"/>
  <c r="AT123" s="1"/>
  <c r="AG124"/>
  <c r="AT124" s="1"/>
  <c r="AG125"/>
  <c r="AT125" s="1"/>
  <c r="AG126"/>
  <c r="AT126" s="1"/>
  <c r="AG127"/>
  <c r="AT127" s="1"/>
  <c r="AG128"/>
  <c r="AT128" s="1"/>
  <c r="AG129"/>
  <c r="AT129" s="1"/>
  <c r="AG130"/>
  <c r="AT130" s="1"/>
  <c r="AG131"/>
  <c r="AT131" s="1"/>
  <c r="AG132"/>
  <c r="AT132" s="1"/>
  <c r="AG133"/>
  <c r="AT133" s="1"/>
  <c r="AG134"/>
  <c r="AT134" s="1"/>
  <c r="AG135"/>
  <c r="AT135" s="1"/>
  <c r="AG136"/>
  <c r="AT136" s="1"/>
  <c r="AG137"/>
  <c r="AT137" s="1"/>
  <c r="AG138"/>
  <c r="AT138" s="1"/>
  <c r="AG139"/>
  <c r="AG140"/>
  <c r="AG4"/>
  <c r="AT4" s="1"/>
  <c r="AF5"/>
  <c r="AS5" s="1"/>
  <c r="AF6"/>
  <c r="AS6" s="1"/>
  <c r="AF7"/>
  <c r="AS7" s="1"/>
  <c r="AF8"/>
  <c r="AS8" s="1"/>
  <c r="AF9"/>
  <c r="AS9" s="1"/>
  <c r="AF10"/>
  <c r="AS10" s="1"/>
  <c r="AF11"/>
  <c r="AS11" s="1"/>
  <c r="AF12"/>
  <c r="AS12" s="1"/>
  <c r="AF13"/>
  <c r="AS13" s="1"/>
  <c r="AF14"/>
  <c r="AS14" s="1"/>
  <c r="AF15"/>
  <c r="AS15" s="1"/>
  <c r="AF16"/>
  <c r="AS16" s="1"/>
  <c r="AF17"/>
  <c r="AS17" s="1"/>
  <c r="AF18"/>
  <c r="AS18" s="1"/>
  <c r="AF19"/>
  <c r="AS19" s="1"/>
  <c r="AF20"/>
  <c r="AS20" s="1"/>
  <c r="AF21"/>
  <c r="AS21" s="1"/>
  <c r="AF22"/>
  <c r="AS22" s="1"/>
  <c r="AF23"/>
  <c r="AS23" s="1"/>
  <c r="AF24"/>
  <c r="AS24" s="1"/>
  <c r="AF25"/>
  <c r="AS25" s="1"/>
  <c r="AF26"/>
  <c r="AS26" s="1"/>
  <c r="AF27"/>
  <c r="AS27" s="1"/>
  <c r="AF28"/>
  <c r="AS28" s="1"/>
  <c r="AF29"/>
  <c r="AS29" s="1"/>
  <c r="AF30"/>
  <c r="AS30" s="1"/>
  <c r="AF31"/>
  <c r="AS31" s="1"/>
  <c r="AF32"/>
  <c r="AS32" s="1"/>
  <c r="AF33"/>
  <c r="AS33" s="1"/>
  <c r="AF34"/>
  <c r="AS34" s="1"/>
  <c r="AF35"/>
  <c r="AS35" s="1"/>
  <c r="AF36"/>
  <c r="AS36" s="1"/>
  <c r="AF37"/>
  <c r="AS37" s="1"/>
  <c r="AF38"/>
  <c r="AS38" s="1"/>
  <c r="AF39"/>
  <c r="AS39" s="1"/>
  <c r="AF40"/>
  <c r="AS40" s="1"/>
  <c r="AF41"/>
  <c r="AS41" s="1"/>
  <c r="AF42"/>
  <c r="AS42" s="1"/>
  <c r="AF43"/>
  <c r="AS43" s="1"/>
  <c r="AF44"/>
  <c r="AS44" s="1"/>
  <c r="AF45"/>
  <c r="AS45" s="1"/>
  <c r="AF46"/>
  <c r="AS46" s="1"/>
  <c r="AF47"/>
  <c r="AS47" s="1"/>
  <c r="AF48"/>
  <c r="AS48" s="1"/>
  <c r="AF49"/>
  <c r="AS49" s="1"/>
  <c r="AF50"/>
  <c r="AS50" s="1"/>
  <c r="AF51"/>
  <c r="AS51" s="1"/>
  <c r="AF52"/>
  <c r="AS52" s="1"/>
  <c r="AF53"/>
  <c r="AS53" s="1"/>
  <c r="AF54"/>
  <c r="AS54" s="1"/>
  <c r="AF55"/>
  <c r="AS55" s="1"/>
  <c r="AF56"/>
  <c r="AS56" s="1"/>
  <c r="AF57"/>
  <c r="AS57" s="1"/>
  <c r="AF58"/>
  <c r="AS58" s="1"/>
  <c r="AF59"/>
  <c r="AS59" s="1"/>
  <c r="AF60"/>
  <c r="AS60" s="1"/>
  <c r="AF61"/>
  <c r="AS61" s="1"/>
  <c r="AF62"/>
  <c r="AS62" s="1"/>
  <c r="AF63"/>
  <c r="AS63" s="1"/>
  <c r="AF64"/>
  <c r="AS64" s="1"/>
  <c r="AF65"/>
  <c r="AS65" s="1"/>
  <c r="AF66"/>
  <c r="AS66" s="1"/>
  <c r="AF67"/>
  <c r="AS67" s="1"/>
  <c r="AF68"/>
  <c r="AS68" s="1"/>
  <c r="AF69"/>
  <c r="AS69" s="1"/>
  <c r="AF70"/>
  <c r="AS70" s="1"/>
  <c r="AF71"/>
  <c r="AS71" s="1"/>
  <c r="AF72"/>
  <c r="AS72" s="1"/>
  <c r="AF73"/>
  <c r="AS73" s="1"/>
  <c r="AF74"/>
  <c r="AS74" s="1"/>
  <c r="AF75"/>
  <c r="AS75" s="1"/>
  <c r="AF76"/>
  <c r="AS76" s="1"/>
  <c r="AF77"/>
  <c r="AS77" s="1"/>
  <c r="AF78"/>
  <c r="AS78" s="1"/>
  <c r="AF79"/>
  <c r="AS79" s="1"/>
  <c r="AF80"/>
  <c r="AS80" s="1"/>
  <c r="AF81"/>
  <c r="AS81" s="1"/>
  <c r="AF82"/>
  <c r="AS82" s="1"/>
  <c r="AF83"/>
  <c r="AS83" s="1"/>
  <c r="AF84"/>
  <c r="AS84" s="1"/>
  <c r="AF85"/>
  <c r="AS85" s="1"/>
  <c r="AF86"/>
  <c r="AS86" s="1"/>
  <c r="AF87"/>
  <c r="AS87" s="1"/>
  <c r="AF88"/>
  <c r="AS88" s="1"/>
  <c r="AF89"/>
  <c r="AS89" s="1"/>
  <c r="AF90"/>
  <c r="AS90" s="1"/>
  <c r="AF91"/>
  <c r="AS91" s="1"/>
  <c r="AF92"/>
  <c r="AS92" s="1"/>
  <c r="AF93"/>
  <c r="AS93" s="1"/>
  <c r="AF94"/>
  <c r="AS94" s="1"/>
  <c r="AF95"/>
  <c r="AS95" s="1"/>
  <c r="AF96"/>
  <c r="AS96" s="1"/>
  <c r="AF97"/>
  <c r="AS97" s="1"/>
  <c r="AF98"/>
  <c r="AS98" s="1"/>
  <c r="AF99"/>
  <c r="AS99" s="1"/>
  <c r="AF100"/>
  <c r="AS100" s="1"/>
  <c r="AF101"/>
  <c r="AS101" s="1"/>
  <c r="AF102"/>
  <c r="AS102" s="1"/>
  <c r="AF103"/>
  <c r="AS103" s="1"/>
  <c r="AF104"/>
  <c r="AS104" s="1"/>
  <c r="AF105"/>
  <c r="AS105" s="1"/>
  <c r="AF106"/>
  <c r="AS106" s="1"/>
  <c r="AF107"/>
  <c r="AS107" s="1"/>
  <c r="AF108"/>
  <c r="AS108" s="1"/>
  <c r="AF109"/>
  <c r="AS109" s="1"/>
  <c r="AF110"/>
  <c r="AS110" s="1"/>
  <c r="AF111"/>
  <c r="AS111" s="1"/>
  <c r="AF112"/>
  <c r="AS112" s="1"/>
  <c r="AF113"/>
  <c r="AS113" s="1"/>
  <c r="AF114"/>
  <c r="AS114" s="1"/>
  <c r="AF115"/>
  <c r="AS115" s="1"/>
  <c r="AF116"/>
  <c r="AS116" s="1"/>
  <c r="AF117"/>
  <c r="AS117" s="1"/>
  <c r="AF118"/>
  <c r="AS118" s="1"/>
  <c r="AF119"/>
  <c r="AS119" s="1"/>
  <c r="AF120"/>
  <c r="AS120" s="1"/>
  <c r="AF121"/>
  <c r="AS121" s="1"/>
  <c r="AF122"/>
  <c r="AS122" s="1"/>
  <c r="AF123"/>
  <c r="AS123" s="1"/>
  <c r="AF124"/>
  <c r="AS124" s="1"/>
  <c r="AF125"/>
  <c r="AS125" s="1"/>
  <c r="AF126"/>
  <c r="AS126" s="1"/>
  <c r="AF127"/>
  <c r="AS127" s="1"/>
  <c r="AF128"/>
  <c r="AS128" s="1"/>
  <c r="AF129"/>
  <c r="AS129" s="1"/>
  <c r="AF130"/>
  <c r="AS130" s="1"/>
  <c r="AF131"/>
  <c r="AS131" s="1"/>
  <c r="AF132"/>
  <c r="AS132" s="1"/>
  <c r="AF133"/>
  <c r="AS133" s="1"/>
  <c r="AF134"/>
  <c r="AS134" s="1"/>
  <c r="AF135"/>
  <c r="AS135" s="1"/>
  <c r="AF136"/>
  <c r="AS136" s="1"/>
  <c r="AF137"/>
  <c r="AS137" s="1"/>
  <c r="AF138"/>
  <c r="AS138" s="1"/>
  <c r="AF139"/>
  <c r="AF140"/>
  <c r="AE5"/>
  <c r="AR5" s="1"/>
  <c r="AE6"/>
  <c r="AR6" s="1"/>
  <c r="AE7"/>
  <c r="AR7" s="1"/>
  <c r="AE8"/>
  <c r="AR8" s="1"/>
  <c r="AE9"/>
  <c r="AR9" s="1"/>
  <c r="AE10"/>
  <c r="AR10" s="1"/>
  <c r="AE11"/>
  <c r="AR11" s="1"/>
  <c r="AE12"/>
  <c r="AR12" s="1"/>
  <c r="AE13"/>
  <c r="AR13" s="1"/>
  <c r="AE14"/>
  <c r="AR14" s="1"/>
  <c r="AE15"/>
  <c r="AR15" s="1"/>
  <c r="AE16"/>
  <c r="AR16" s="1"/>
  <c r="AE17"/>
  <c r="AR17" s="1"/>
  <c r="AE18"/>
  <c r="AR18" s="1"/>
  <c r="AE19"/>
  <c r="AR19" s="1"/>
  <c r="AE20"/>
  <c r="AR20" s="1"/>
  <c r="AE21"/>
  <c r="AR21" s="1"/>
  <c r="AE22"/>
  <c r="AR22" s="1"/>
  <c r="AE23"/>
  <c r="AR23" s="1"/>
  <c r="AE24"/>
  <c r="AR24" s="1"/>
  <c r="AE25"/>
  <c r="AR25" s="1"/>
  <c r="AE26"/>
  <c r="AR26" s="1"/>
  <c r="AE27"/>
  <c r="AR27" s="1"/>
  <c r="AE28"/>
  <c r="AR28" s="1"/>
  <c r="AE29"/>
  <c r="AR29" s="1"/>
  <c r="AE30"/>
  <c r="AR30" s="1"/>
  <c r="AE31"/>
  <c r="AR31" s="1"/>
  <c r="AE32"/>
  <c r="AR32" s="1"/>
  <c r="AE33"/>
  <c r="AR33" s="1"/>
  <c r="AE34"/>
  <c r="AR34" s="1"/>
  <c r="AE35"/>
  <c r="AR35" s="1"/>
  <c r="AE36"/>
  <c r="AR36" s="1"/>
  <c r="AE37"/>
  <c r="AR37" s="1"/>
  <c r="AE38"/>
  <c r="AR38" s="1"/>
  <c r="AE39"/>
  <c r="AR39" s="1"/>
  <c r="AE40"/>
  <c r="AR40" s="1"/>
  <c r="AE41"/>
  <c r="AR41" s="1"/>
  <c r="AE42"/>
  <c r="AR42" s="1"/>
  <c r="AE43"/>
  <c r="AR43" s="1"/>
  <c r="AE44"/>
  <c r="AR44" s="1"/>
  <c r="AE45"/>
  <c r="AR45" s="1"/>
  <c r="AE46"/>
  <c r="AR46" s="1"/>
  <c r="AE47"/>
  <c r="AR47" s="1"/>
  <c r="AE48"/>
  <c r="AR48" s="1"/>
  <c r="AE49"/>
  <c r="AR49" s="1"/>
  <c r="AE50"/>
  <c r="AR50" s="1"/>
  <c r="AE51"/>
  <c r="AR51" s="1"/>
  <c r="AE52"/>
  <c r="AR52" s="1"/>
  <c r="AE53"/>
  <c r="AR53" s="1"/>
  <c r="AE54"/>
  <c r="AR54" s="1"/>
  <c r="AE55"/>
  <c r="AR55" s="1"/>
  <c r="AE56"/>
  <c r="AR56" s="1"/>
  <c r="AE57"/>
  <c r="AR57" s="1"/>
  <c r="AE58"/>
  <c r="AR58" s="1"/>
  <c r="AE59"/>
  <c r="AR59" s="1"/>
  <c r="AE60"/>
  <c r="AR60" s="1"/>
  <c r="AE61"/>
  <c r="AR61" s="1"/>
  <c r="AE62"/>
  <c r="AR62" s="1"/>
  <c r="AE63"/>
  <c r="AR63" s="1"/>
  <c r="AE64"/>
  <c r="AR64" s="1"/>
  <c r="AE65"/>
  <c r="AR65" s="1"/>
  <c r="AE66"/>
  <c r="AR66" s="1"/>
  <c r="AE67"/>
  <c r="AR67" s="1"/>
  <c r="AE68"/>
  <c r="AR68" s="1"/>
  <c r="AE69"/>
  <c r="AR69" s="1"/>
  <c r="AE70"/>
  <c r="AR70" s="1"/>
  <c r="AE71"/>
  <c r="AR71" s="1"/>
  <c r="AE72"/>
  <c r="AR72" s="1"/>
  <c r="AE73"/>
  <c r="AR73" s="1"/>
  <c r="AE74"/>
  <c r="AR74" s="1"/>
  <c r="AE75"/>
  <c r="AR75" s="1"/>
  <c r="AE76"/>
  <c r="AR76" s="1"/>
  <c r="AE77"/>
  <c r="AR77" s="1"/>
  <c r="AE78"/>
  <c r="AR78" s="1"/>
  <c r="AE79"/>
  <c r="AR79" s="1"/>
  <c r="AE80"/>
  <c r="AR80" s="1"/>
  <c r="AE81"/>
  <c r="AR81" s="1"/>
  <c r="AE82"/>
  <c r="AR82" s="1"/>
  <c r="AE83"/>
  <c r="AR83" s="1"/>
  <c r="AE84"/>
  <c r="AR84" s="1"/>
  <c r="AE85"/>
  <c r="AR85" s="1"/>
  <c r="AE86"/>
  <c r="AR86" s="1"/>
  <c r="AE87"/>
  <c r="AR87" s="1"/>
  <c r="AE88"/>
  <c r="AR88" s="1"/>
  <c r="AE89"/>
  <c r="AR89" s="1"/>
  <c r="AE90"/>
  <c r="AR90" s="1"/>
  <c r="AE91"/>
  <c r="AR91" s="1"/>
  <c r="AE92"/>
  <c r="AR92" s="1"/>
  <c r="AE93"/>
  <c r="AR93" s="1"/>
  <c r="AE94"/>
  <c r="AR94" s="1"/>
  <c r="AE95"/>
  <c r="AR95" s="1"/>
  <c r="AE96"/>
  <c r="AR96" s="1"/>
  <c r="AE97"/>
  <c r="AR97" s="1"/>
  <c r="AE98"/>
  <c r="AR98" s="1"/>
  <c r="AE99"/>
  <c r="AR99" s="1"/>
  <c r="AE100"/>
  <c r="AR100" s="1"/>
  <c r="AE101"/>
  <c r="AR101" s="1"/>
  <c r="AE102"/>
  <c r="AR102" s="1"/>
  <c r="AE103"/>
  <c r="AR103" s="1"/>
  <c r="AE104"/>
  <c r="AR104" s="1"/>
  <c r="AE105"/>
  <c r="AR105" s="1"/>
  <c r="AE106"/>
  <c r="AR106" s="1"/>
  <c r="AE107"/>
  <c r="AR107" s="1"/>
  <c r="AE108"/>
  <c r="AR108" s="1"/>
  <c r="AE109"/>
  <c r="AR109" s="1"/>
  <c r="AE110"/>
  <c r="AR110" s="1"/>
  <c r="AE111"/>
  <c r="AR111" s="1"/>
  <c r="AE112"/>
  <c r="AR112" s="1"/>
  <c r="AE113"/>
  <c r="AR113" s="1"/>
  <c r="AE114"/>
  <c r="AR114" s="1"/>
  <c r="AE115"/>
  <c r="AR115" s="1"/>
  <c r="AE116"/>
  <c r="AR116" s="1"/>
  <c r="AE117"/>
  <c r="AR117" s="1"/>
  <c r="AE118"/>
  <c r="AR118" s="1"/>
  <c r="AE119"/>
  <c r="AR119" s="1"/>
  <c r="AE120"/>
  <c r="AR120" s="1"/>
  <c r="AE121"/>
  <c r="AR121" s="1"/>
  <c r="AE122"/>
  <c r="AR122" s="1"/>
  <c r="AE123"/>
  <c r="AR123" s="1"/>
  <c r="AE124"/>
  <c r="AR124" s="1"/>
  <c r="AE125"/>
  <c r="AR125" s="1"/>
  <c r="AE126"/>
  <c r="AR126" s="1"/>
  <c r="AE127"/>
  <c r="AR127" s="1"/>
  <c r="AE128"/>
  <c r="AR128" s="1"/>
  <c r="AE129"/>
  <c r="AR129" s="1"/>
  <c r="AE130"/>
  <c r="AR130" s="1"/>
  <c r="AE131"/>
  <c r="AR131" s="1"/>
  <c r="AE132"/>
  <c r="AR132" s="1"/>
  <c r="AE133"/>
  <c r="AR133" s="1"/>
  <c r="AE134"/>
  <c r="AR134" s="1"/>
  <c r="AE135"/>
  <c r="AR135" s="1"/>
  <c r="AE136"/>
  <c r="AR136" s="1"/>
  <c r="AE137"/>
  <c r="AR137" s="1"/>
  <c r="AE138"/>
  <c r="AR138" s="1"/>
  <c r="AE139"/>
  <c r="AE140"/>
  <c r="AD5"/>
  <c r="AQ5" s="1"/>
  <c r="AD6"/>
  <c r="AQ6" s="1"/>
  <c r="AD7"/>
  <c r="AQ7" s="1"/>
  <c r="AD8"/>
  <c r="AQ8" s="1"/>
  <c r="AD9"/>
  <c r="AQ9" s="1"/>
  <c r="AD10"/>
  <c r="AQ10" s="1"/>
  <c r="AD11"/>
  <c r="AQ11" s="1"/>
  <c r="AD12"/>
  <c r="AQ12" s="1"/>
  <c r="AD13"/>
  <c r="AQ13" s="1"/>
  <c r="AD14"/>
  <c r="AQ14" s="1"/>
  <c r="AD15"/>
  <c r="AQ15" s="1"/>
  <c r="AD16"/>
  <c r="AQ16" s="1"/>
  <c r="AD17"/>
  <c r="AQ17" s="1"/>
  <c r="AD18"/>
  <c r="AQ18" s="1"/>
  <c r="AD19"/>
  <c r="AQ19" s="1"/>
  <c r="AD20"/>
  <c r="AQ20" s="1"/>
  <c r="AD21"/>
  <c r="AQ21" s="1"/>
  <c r="AD22"/>
  <c r="AQ22" s="1"/>
  <c r="AD23"/>
  <c r="AQ23" s="1"/>
  <c r="AD24"/>
  <c r="AQ24" s="1"/>
  <c r="AD25"/>
  <c r="AQ25" s="1"/>
  <c r="AD26"/>
  <c r="AQ26" s="1"/>
  <c r="AD27"/>
  <c r="AQ27" s="1"/>
  <c r="AD28"/>
  <c r="AQ28" s="1"/>
  <c r="AD29"/>
  <c r="AQ29" s="1"/>
  <c r="AD30"/>
  <c r="AQ30" s="1"/>
  <c r="AD31"/>
  <c r="AQ31" s="1"/>
  <c r="AD32"/>
  <c r="AQ32" s="1"/>
  <c r="AD33"/>
  <c r="AQ33" s="1"/>
  <c r="AD34"/>
  <c r="AQ34" s="1"/>
  <c r="AD35"/>
  <c r="AQ35" s="1"/>
  <c r="AD36"/>
  <c r="AQ36" s="1"/>
  <c r="AD37"/>
  <c r="AQ37" s="1"/>
  <c r="AD38"/>
  <c r="AQ38" s="1"/>
  <c r="AD39"/>
  <c r="AQ39" s="1"/>
  <c r="AD40"/>
  <c r="AQ40" s="1"/>
  <c r="AD41"/>
  <c r="AQ41" s="1"/>
  <c r="AD42"/>
  <c r="AQ42" s="1"/>
  <c r="AD43"/>
  <c r="AQ43" s="1"/>
  <c r="AD44"/>
  <c r="AQ44" s="1"/>
  <c r="AD45"/>
  <c r="AQ45" s="1"/>
  <c r="AD46"/>
  <c r="AQ46" s="1"/>
  <c r="AD47"/>
  <c r="AQ47" s="1"/>
  <c r="AD48"/>
  <c r="AQ48" s="1"/>
  <c r="AD49"/>
  <c r="AQ49" s="1"/>
  <c r="AD50"/>
  <c r="AQ50" s="1"/>
  <c r="AD51"/>
  <c r="AQ51" s="1"/>
  <c r="AD52"/>
  <c r="AQ52" s="1"/>
  <c r="AD53"/>
  <c r="AQ53" s="1"/>
  <c r="AD54"/>
  <c r="AQ54" s="1"/>
  <c r="AD55"/>
  <c r="AQ55" s="1"/>
  <c r="AD56"/>
  <c r="AQ56" s="1"/>
  <c r="AD57"/>
  <c r="AQ57" s="1"/>
  <c r="AD58"/>
  <c r="AQ58" s="1"/>
  <c r="AD59"/>
  <c r="AQ59" s="1"/>
  <c r="AD60"/>
  <c r="AQ60" s="1"/>
  <c r="AD61"/>
  <c r="AQ61" s="1"/>
  <c r="AD62"/>
  <c r="AQ62" s="1"/>
  <c r="AD63"/>
  <c r="AQ63" s="1"/>
  <c r="AD64"/>
  <c r="AQ64" s="1"/>
  <c r="AD65"/>
  <c r="AQ65" s="1"/>
  <c r="AD66"/>
  <c r="AQ66" s="1"/>
  <c r="AD67"/>
  <c r="AQ67" s="1"/>
  <c r="AD68"/>
  <c r="AQ68" s="1"/>
  <c r="AD69"/>
  <c r="AQ69" s="1"/>
  <c r="AD70"/>
  <c r="AQ70" s="1"/>
  <c r="AD71"/>
  <c r="AQ71" s="1"/>
  <c r="AD72"/>
  <c r="AQ72" s="1"/>
  <c r="AD73"/>
  <c r="AQ73" s="1"/>
  <c r="AD74"/>
  <c r="AQ74" s="1"/>
  <c r="AD75"/>
  <c r="AQ75" s="1"/>
  <c r="AD76"/>
  <c r="AQ76" s="1"/>
  <c r="AD77"/>
  <c r="AQ77" s="1"/>
  <c r="AD78"/>
  <c r="AQ78" s="1"/>
  <c r="AD79"/>
  <c r="AQ79" s="1"/>
  <c r="AD80"/>
  <c r="AQ80" s="1"/>
  <c r="AD81"/>
  <c r="AQ81" s="1"/>
  <c r="AD82"/>
  <c r="AQ82" s="1"/>
  <c r="AD83"/>
  <c r="AQ83" s="1"/>
  <c r="AD84"/>
  <c r="AQ84" s="1"/>
  <c r="AD85"/>
  <c r="AQ85" s="1"/>
  <c r="AD86"/>
  <c r="AQ86" s="1"/>
  <c r="AD87"/>
  <c r="AQ87" s="1"/>
  <c r="AD88"/>
  <c r="AQ88" s="1"/>
  <c r="AD89"/>
  <c r="AQ89" s="1"/>
  <c r="AD90"/>
  <c r="AQ90" s="1"/>
  <c r="AD91"/>
  <c r="AQ91" s="1"/>
  <c r="AD92"/>
  <c r="AQ92" s="1"/>
  <c r="AD93"/>
  <c r="AQ93" s="1"/>
  <c r="AD94"/>
  <c r="AQ94" s="1"/>
  <c r="AD95"/>
  <c r="AQ95" s="1"/>
  <c r="AD96"/>
  <c r="AQ96" s="1"/>
  <c r="AD97"/>
  <c r="AQ97" s="1"/>
  <c r="AD98"/>
  <c r="AQ98" s="1"/>
  <c r="AD99"/>
  <c r="AQ99" s="1"/>
  <c r="AD100"/>
  <c r="AQ100" s="1"/>
  <c r="AD101"/>
  <c r="AQ101" s="1"/>
  <c r="AD102"/>
  <c r="AQ102" s="1"/>
  <c r="AD103"/>
  <c r="AQ103" s="1"/>
  <c r="AD104"/>
  <c r="AQ104" s="1"/>
  <c r="AD105"/>
  <c r="AQ105" s="1"/>
  <c r="AD106"/>
  <c r="AQ106" s="1"/>
  <c r="AD107"/>
  <c r="AQ107" s="1"/>
  <c r="AD108"/>
  <c r="AQ108" s="1"/>
  <c r="AD109"/>
  <c r="AQ109" s="1"/>
  <c r="AD110"/>
  <c r="AQ110" s="1"/>
  <c r="AD111"/>
  <c r="AQ111" s="1"/>
  <c r="AD112"/>
  <c r="AQ112" s="1"/>
  <c r="AD113"/>
  <c r="AQ113" s="1"/>
  <c r="AD114"/>
  <c r="AQ114" s="1"/>
  <c r="AD115"/>
  <c r="AQ115" s="1"/>
  <c r="AD116"/>
  <c r="AQ116" s="1"/>
  <c r="AD117"/>
  <c r="AQ117" s="1"/>
  <c r="AD118"/>
  <c r="AQ118" s="1"/>
  <c r="AD119"/>
  <c r="AQ119" s="1"/>
  <c r="AD120"/>
  <c r="AQ120" s="1"/>
  <c r="AD121"/>
  <c r="AQ121" s="1"/>
  <c r="AD122"/>
  <c r="AQ122" s="1"/>
  <c r="AD123"/>
  <c r="AQ123" s="1"/>
  <c r="AD124"/>
  <c r="AQ124" s="1"/>
  <c r="AD125"/>
  <c r="AQ125" s="1"/>
  <c r="AD126"/>
  <c r="AQ126" s="1"/>
  <c r="AD127"/>
  <c r="AQ127" s="1"/>
  <c r="AD128"/>
  <c r="AQ128" s="1"/>
  <c r="AD129"/>
  <c r="AQ129" s="1"/>
  <c r="AD130"/>
  <c r="AQ130" s="1"/>
  <c r="AD131"/>
  <c r="AQ131" s="1"/>
  <c r="AD132"/>
  <c r="AQ132" s="1"/>
  <c r="AD133"/>
  <c r="AQ133" s="1"/>
  <c r="AD134"/>
  <c r="AQ134" s="1"/>
  <c r="AD135"/>
  <c r="AQ135" s="1"/>
  <c r="AD136"/>
  <c r="AQ136" s="1"/>
  <c r="AD137"/>
  <c r="AQ137" s="1"/>
  <c r="AD138"/>
  <c r="AQ138" s="1"/>
  <c r="AD139"/>
  <c r="AD140"/>
  <c r="AC5"/>
  <c r="AP5" s="1"/>
  <c r="AC6"/>
  <c r="AP6" s="1"/>
  <c r="AC7"/>
  <c r="AP7" s="1"/>
  <c r="AC8"/>
  <c r="AP8" s="1"/>
  <c r="AC9"/>
  <c r="AP9" s="1"/>
  <c r="AC10"/>
  <c r="AP10" s="1"/>
  <c r="AC11"/>
  <c r="AP11" s="1"/>
  <c r="AC12"/>
  <c r="AP12" s="1"/>
  <c r="AC13"/>
  <c r="AP13" s="1"/>
  <c r="AC14"/>
  <c r="AP14" s="1"/>
  <c r="AC15"/>
  <c r="AP15" s="1"/>
  <c r="AC16"/>
  <c r="AP16" s="1"/>
  <c r="AC17"/>
  <c r="AP17" s="1"/>
  <c r="AC18"/>
  <c r="AP18" s="1"/>
  <c r="AC19"/>
  <c r="AP19" s="1"/>
  <c r="AC20"/>
  <c r="AP20" s="1"/>
  <c r="AC21"/>
  <c r="AP21" s="1"/>
  <c r="AC22"/>
  <c r="AP22" s="1"/>
  <c r="AC23"/>
  <c r="AP23" s="1"/>
  <c r="AC24"/>
  <c r="AP24" s="1"/>
  <c r="AC25"/>
  <c r="AP25" s="1"/>
  <c r="AC26"/>
  <c r="AP26" s="1"/>
  <c r="AC27"/>
  <c r="AP27" s="1"/>
  <c r="AC28"/>
  <c r="AP28" s="1"/>
  <c r="AC29"/>
  <c r="AP29" s="1"/>
  <c r="AC30"/>
  <c r="AP30" s="1"/>
  <c r="AC31"/>
  <c r="AP31" s="1"/>
  <c r="AC32"/>
  <c r="AP32" s="1"/>
  <c r="AC33"/>
  <c r="AP33" s="1"/>
  <c r="AC34"/>
  <c r="AP34" s="1"/>
  <c r="AC35"/>
  <c r="AP35" s="1"/>
  <c r="AC36"/>
  <c r="AP36" s="1"/>
  <c r="AC37"/>
  <c r="AP37" s="1"/>
  <c r="AC38"/>
  <c r="AP38" s="1"/>
  <c r="AC39"/>
  <c r="AP39" s="1"/>
  <c r="AC40"/>
  <c r="AP40" s="1"/>
  <c r="AC41"/>
  <c r="AP41" s="1"/>
  <c r="AC42"/>
  <c r="AP42" s="1"/>
  <c r="AC43"/>
  <c r="AP43" s="1"/>
  <c r="AC44"/>
  <c r="AP44" s="1"/>
  <c r="AC45"/>
  <c r="AP45" s="1"/>
  <c r="AC46"/>
  <c r="AP46" s="1"/>
  <c r="AC47"/>
  <c r="AP47" s="1"/>
  <c r="AC48"/>
  <c r="AP48" s="1"/>
  <c r="AC49"/>
  <c r="AP49" s="1"/>
  <c r="AC50"/>
  <c r="AP50" s="1"/>
  <c r="AC51"/>
  <c r="AP51" s="1"/>
  <c r="AC52"/>
  <c r="AP52" s="1"/>
  <c r="AC53"/>
  <c r="AP53" s="1"/>
  <c r="AC54"/>
  <c r="AP54" s="1"/>
  <c r="AC55"/>
  <c r="AP55" s="1"/>
  <c r="AC56"/>
  <c r="AP56" s="1"/>
  <c r="AC57"/>
  <c r="AP57" s="1"/>
  <c r="AC58"/>
  <c r="AP58" s="1"/>
  <c r="AC59"/>
  <c r="AP59" s="1"/>
  <c r="AC60"/>
  <c r="AP60" s="1"/>
  <c r="AC61"/>
  <c r="AP61" s="1"/>
  <c r="AC62"/>
  <c r="AP62" s="1"/>
  <c r="AC63"/>
  <c r="AP63" s="1"/>
  <c r="AC64"/>
  <c r="AP64" s="1"/>
  <c r="AC65"/>
  <c r="AP65" s="1"/>
  <c r="AC66"/>
  <c r="AP66" s="1"/>
  <c r="AC67"/>
  <c r="AP67" s="1"/>
  <c r="AC68"/>
  <c r="AP68" s="1"/>
  <c r="AC69"/>
  <c r="AP69" s="1"/>
  <c r="AC70"/>
  <c r="AP70" s="1"/>
  <c r="AC71"/>
  <c r="AP71" s="1"/>
  <c r="AC72"/>
  <c r="AP72" s="1"/>
  <c r="AC73"/>
  <c r="AP73" s="1"/>
  <c r="AC74"/>
  <c r="AP74" s="1"/>
  <c r="AC75"/>
  <c r="AP75" s="1"/>
  <c r="AC76"/>
  <c r="AP76" s="1"/>
  <c r="AC77"/>
  <c r="AP77" s="1"/>
  <c r="AC78"/>
  <c r="AP78" s="1"/>
  <c r="AC79"/>
  <c r="AP79" s="1"/>
  <c r="AC80"/>
  <c r="AP80" s="1"/>
  <c r="AC81"/>
  <c r="AP81" s="1"/>
  <c r="AC82"/>
  <c r="AP82" s="1"/>
  <c r="AC83"/>
  <c r="AP83" s="1"/>
  <c r="AC84"/>
  <c r="AP84" s="1"/>
  <c r="AC85"/>
  <c r="AP85" s="1"/>
  <c r="AC86"/>
  <c r="AP86" s="1"/>
  <c r="AC87"/>
  <c r="AP87" s="1"/>
  <c r="AC88"/>
  <c r="AP88" s="1"/>
  <c r="AC89"/>
  <c r="AP89" s="1"/>
  <c r="AC90"/>
  <c r="AP90" s="1"/>
  <c r="AC91"/>
  <c r="AP91" s="1"/>
  <c r="AC92"/>
  <c r="AP92" s="1"/>
  <c r="AC93"/>
  <c r="AP93" s="1"/>
  <c r="AC94"/>
  <c r="AP94" s="1"/>
  <c r="AC95"/>
  <c r="AP95" s="1"/>
  <c r="AC96"/>
  <c r="AP96" s="1"/>
  <c r="AC97"/>
  <c r="AP97" s="1"/>
  <c r="AC98"/>
  <c r="AP98" s="1"/>
  <c r="AC99"/>
  <c r="AP99" s="1"/>
  <c r="AC100"/>
  <c r="AP100" s="1"/>
  <c r="AC101"/>
  <c r="AP101" s="1"/>
  <c r="AC102"/>
  <c r="AP102" s="1"/>
  <c r="AC103"/>
  <c r="AP103" s="1"/>
  <c r="AC104"/>
  <c r="AP104" s="1"/>
  <c r="AC105"/>
  <c r="AP105" s="1"/>
  <c r="AC106"/>
  <c r="AP106" s="1"/>
  <c r="AC107"/>
  <c r="AP107" s="1"/>
  <c r="AC108"/>
  <c r="AP108" s="1"/>
  <c r="AC109"/>
  <c r="AP109" s="1"/>
  <c r="AC110"/>
  <c r="AP110" s="1"/>
  <c r="AC111"/>
  <c r="AP111" s="1"/>
  <c r="AC112"/>
  <c r="AP112" s="1"/>
  <c r="AC113"/>
  <c r="AP113" s="1"/>
  <c r="AC114"/>
  <c r="AP114" s="1"/>
  <c r="AC115"/>
  <c r="AP115" s="1"/>
  <c r="AC116"/>
  <c r="AP116" s="1"/>
  <c r="AC117"/>
  <c r="AP117" s="1"/>
  <c r="AC118"/>
  <c r="AP118" s="1"/>
  <c r="AC119"/>
  <c r="AP119" s="1"/>
  <c r="AC120"/>
  <c r="AP120" s="1"/>
  <c r="AC121"/>
  <c r="AP121" s="1"/>
  <c r="AC122"/>
  <c r="AP122" s="1"/>
  <c r="AC123"/>
  <c r="AP123" s="1"/>
  <c r="AC124"/>
  <c r="AP124" s="1"/>
  <c r="AC125"/>
  <c r="AP125" s="1"/>
  <c r="AC126"/>
  <c r="AP126" s="1"/>
  <c r="AC127"/>
  <c r="AP127" s="1"/>
  <c r="AC128"/>
  <c r="AP128" s="1"/>
  <c r="AC129"/>
  <c r="AP129" s="1"/>
  <c r="AC130"/>
  <c r="AP130" s="1"/>
  <c r="AC131"/>
  <c r="AP131" s="1"/>
  <c r="AC132"/>
  <c r="AP132" s="1"/>
  <c r="AC133"/>
  <c r="AP133" s="1"/>
  <c r="AC134"/>
  <c r="AP134" s="1"/>
  <c r="AC135"/>
  <c r="AP135" s="1"/>
  <c r="AC136"/>
  <c r="AP136" s="1"/>
  <c r="AC137"/>
  <c r="AP137" s="1"/>
  <c r="AC139"/>
  <c r="AC140"/>
  <c r="AD4"/>
  <c r="AQ4" s="1"/>
  <c r="AE4"/>
  <c r="AR4" s="1"/>
  <c r="AF4"/>
  <c r="AS4" s="1"/>
  <c r="AH4"/>
  <c r="AU4" s="1"/>
  <c r="AI4"/>
  <c r="AV4" s="1"/>
  <c r="AJ4"/>
  <c r="AW4" s="1"/>
  <c r="AK4"/>
  <c r="AX4" s="1"/>
  <c r="AL4"/>
  <c r="AY4" s="1"/>
  <c r="Y143"/>
  <c r="Y144"/>
  <c r="Y145"/>
  <c r="Y146"/>
  <c r="Y147"/>
  <c r="Y148"/>
  <c r="Y149"/>
  <c r="Y150"/>
  <c r="Y151"/>
  <c r="Y152"/>
  <c r="Y153"/>
  <c r="Y142"/>
  <c r="X143"/>
  <c r="X144"/>
  <c r="X145"/>
  <c r="X146"/>
  <c r="X147"/>
  <c r="X148"/>
  <c r="X149"/>
  <c r="X150"/>
  <c r="X151"/>
  <c r="X152"/>
  <c r="X153"/>
  <c r="X142"/>
  <c r="W143"/>
  <c r="W144"/>
  <c r="W145"/>
  <c r="W146"/>
  <c r="W147"/>
  <c r="W148"/>
  <c r="W149"/>
  <c r="W150"/>
  <c r="W151"/>
  <c r="W152"/>
  <c r="W153"/>
  <c r="W142"/>
  <c r="V143"/>
  <c r="V144"/>
  <c r="V145"/>
  <c r="V146"/>
  <c r="V147"/>
  <c r="V148"/>
  <c r="V149"/>
  <c r="V150"/>
  <c r="V151"/>
  <c r="V152"/>
  <c r="V153"/>
  <c r="V142"/>
  <c r="U143"/>
  <c r="U144"/>
  <c r="U145"/>
  <c r="U146"/>
  <c r="U147"/>
  <c r="U148"/>
  <c r="U149"/>
  <c r="U150"/>
  <c r="U151"/>
  <c r="U152"/>
  <c r="U153"/>
  <c r="U142"/>
  <c r="T143"/>
  <c r="T144"/>
  <c r="T145"/>
  <c r="T146"/>
  <c r="T147"/>
  <c r="T148"/>
  <c r="T149"/>
  <c r="T150"/>
  <c r="T151"/>
  <c r="T152"/>
  <c r="T153"/>
  <c r="T142"/>
  <c r="S143"/>
  <c r="S144"/>
  <c r="S145"/>
  <c r="S146"/>
  <c r="S147"/>
  <c r="S148"/>
  <c r="S149"/>
  <c r="S150"/>
  <c r="S151"/>
  <c r="S152"/>
  <c r="S153"/>
  <c r="S142"/>
  <c r="R143"/>
  <c r="R144"/>
  <c r="R145"/>
  <c r="R146"/>
  <c r="R147"/>
  <c r="R148"/>
  <c r="R149"/>
  <c r="R150"/>
  <c r="R151"/>
  <c r="R152"/>
  <c r="R153"/>
  <c r="R142"/>
  <c r="Q143"/>
  <c r="Q144"/>
  <c r="Q145"/>
  <c r="Q146"/>
  <c r="Q147"/>
  <c r="Q148"/>
  <c r="Q149"/>
  <c r="Q150"/>
  <c r="Q151"/>
  <c r="Q152"/>
  <c r="Q153"/>
  <c r="Q142"/>
  <c r="P143"/>
  <c r="P144"/>
  <c r="P145"/>
  <c r="P146"/>
  <c r="P147"/>
  <c r="P148"/>
  <c r="P149"/>
  <c r="P150"/>
  <c r="P151"/>
  <c r="P152"/>
  <c r="P153"/>
  <c r="P142"/>
  <c r="O143"/>
  <c r="Z143" s="1"/>
  <c r="O144"/>
  <c r="Z144" s="1"/>
  <c r="O145"/>
  <c r="Z145" s="1"/>
  <c r="O146"/>
  <c r="Z146" s="1"/>
  <c r="O147"/>
  <c r="Z147" s="1"/>
  <c r="O148"/>
  <c r="Z148" s="1"/>
  <c r="O149"/>
  <c r="Z149" s="1"/>
  <c r="O150"/>
  <c r="Z150" s="1"/>
  <c r="O151"/>
  <c r="Z151" s="1"/>
  <c r="O152"/>
  <c r="Z152" s="1"/>
  <c r="O153"/>
  <c r="Z153" s="1"/>
  <c r="O142"/>
  <c r="Z142" s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4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4"/>
  <c r="P5"/>
  <c r="Z5" s="1"/>
  <c r="P6"/>
  <c r="P7"/>
  <c r="Z7" s="1"/>
  <c r="P8"/>
  <c r="P9"/>
  <c r="Z9" s="1"/>
  <c r="P10"/>
  <c r="P11"/>
  <c r="Z11" s="1"/>
  <c r="P12"/>
  <c r="P13"/>
  <c r="Z13" s="1"/>
  <c r="P14"/>
  <c r="P15"/>
  <c r="Z15" s="1"/>
  <c r="P16"/>
  <c r="P17"/>
  <c r="Z17" s="1"/>
  <c r="P18"/>
  <c r="P19"/>
  <c r="Z19" s="1"/>
  <c r="P20"/>
  <c r="P21"/>
  <c r="Z21" s="1"/>
  <c r="P22"/>
  <c r="P23"/>
  <c r="Z23" s="1"/>
  <c r="P24"/>
  <c r="P25"/>
  <c r="Z25" s="1"/>
  <c r="P26"/>
  <c r="P27"/>
  <c r="Z27" s="1"/>
  <c r="P28"/>
  <c r="P29"/>
  <c r="Z29" s="1"/>
  <c r="P30"/>
  <c r="P31"/>
  <c r="Z31" s="1"/>
  <c r="P32"/>
  <c r="P33"/>
  <c r="Z33" s="1"/>
  <c r="P34"/>
  <c r="P35"/>
  <c r="Z35" s="1"/>
  <c r="P36"/>
  <c r="P37"/>
  <c r="Z37" s="1"/>
  <c r="P38"/>
  <c r="P39"/>
  <c r="Z39" s="1"/>
  <c r="P40"/>
  <c r="P41"/>
  <c r="Z41" s="1"/>
  <c r="P42"/>
  <c r="P43"/>
  <c r="Z43" s="1"/>
  <c r="P44"/>
  <c r="P45"/>
  <c r="Z45" s="1"/>
  <c r="P46"/>
  <c r="P47"/>
  <c r="Z47" s="1"/>
  <c r="P48"/>
  <c r="P49"/>
  <c r="Z49" s="1"/>
  <c r="P50"/>
  <c r="P51"/>
  <c r="Z51" s="1"/>
  <c r="P52"/>
  <c r="P53"/>
  <c r="Z53" s="1"/>
  <c r="P54"/>
  <c r="P55"/>
  <c r="Z55" s="1"/>
  <c r="P56"/>
  <c r="P57"/>
  <c r="Z57" s="1"/>
  <c r="P58"/>
  <c r="P59"/>
  <c r="Z59" s="1"/>
  <c r="P60"/>
  <c r="P61"/>
  <c r="Z61" s="1"/>
  <c r="P62"/>
  <c r="P63"/>
  <c r="Z63" s="1"/>
  <c r="P64"/>
  <c r="P65"/>
  <c r="Z65" s="1"/>
  <c r="P66"/>
  <c r="P67"/>
  <c r="Z67" s="1"/>
  <c r="P68"/>
  <c r="P69"/>
  <c r="Z69" s="1"/>
  <c r="P70"/>
  <c r="P71"/>
  <c r="Z71" s="1"/>
  <c r="P72"/>
  <c r="P73"/>
  <c r="Z73" s="1"/>
  <c r="P74"/>
  <c r="P75"/>
  <c r="Z75" s="1"/>
  <c r="P76"/>
  <c r="P77"/>
  <c r="Z77" s="1"/>
  <c r="P78"/>
  <c r="P79"/>
  <c r="Z79" s="1"/>
  <c r="P80"/>
  <c r="P81"/>
  <c r="Z81" s="1"/>
  <c r="P82"/>
  <c r="P83"/>
  <c r="Z83" s="1"/>
  <c r="P84"/>
  <c r="P85"/>
  <c r="Z85" s="1"/>
  <c r="P86"/>
  <c r="P87"/>
  <c r="Z87" s="1"/>
  <c r="P88"/>
  <c r="P89"/>
  <c r="Z89" s="1"/>
  <c r="P90"/>
  <c r="P91"/>
  <c r="Z91" s="1"/>
  <c r="P92"/>
  <c r="P93"/>
  <c r="Z93" s="1"/>
  <c r="P94"/>
  <c r="P95"/>
  <c r="Z95" s="1"/>
  <c r="P96"/>
  <c r="P97"/>
  <c r="Z97" s="1"/>
  <c r="P98"/>
  <c r="P99"/>
  <c r="Z99" s="1"/>
  <c r="P100"/>
  <c r="P101"/>
  <c r="Z101" s="1"/>
  <c r="P102"/>
  <c r="P103"/>
  <c r="Z103" s="1"/>
  <c r="P104"/>
  <c r="P105"/>
  <c r="Z105" s="1"/>
  <c r="P106"/>
  <c r="P107"/>
  <c r="Z107" s="1"/>
  <c r="P108"/>
  <c r="P109"/>
  <c r="Z109" s="1"/>
  <c r="P110"/>
  <c r="P111"/>
  <c r="Z111" s="1"/>
  <c r="P112"/>
  <c r="P113"/>
  <c r="Z113" s="1"/>
  <c r="P114"/>
  <c r="P115"/>
  <c r="Z115" s="1"/>
  <c r="P116"/>
  <c r="P117"/>
  <c r="Z117" s="1"/>
  <c r="P118"/>
  <c r="P119"/>
  <c r="Z119" s="1"/>
  <c r="P120"/>
  <c r="P121"/>
  <c r="Z121" s="1"/>
  <c r="P122"/>
  <c r="P123"/>
  <c r="Z123" s="1"/>
  <c r="P124"/>
  <c r="P125"/>
  <c r="Z125" s="1"/>
  <c r="P126"/>
  <c r="P127"/>
  <c r="Z127" s="1"/>
  <c r="P128"/>
  <c r="P129"/>
  <c r="Z129" s="1"/>
  <c r="P130"/>
  <c r="P131"/>
  <c r="Z131" s="1"/>
  <c r="P132"/>
  <c r="P133"/>
  <c r="Z133" s="1"/>
  <c r="P134"/>
  <c r="P135"/>
  <c r="Z135" s="1"/>
  <c r="P136"/>
  <c r="P137"/>
  <c r="Z137" s="1"/>
  <c r="P138"/>
  <c r="P4"/>
  <c r="Z4" s="1"/>
  <c r="O5"/>
  <c r="O6"/>
  <c r="Z6" s="1"/>
  <c r="O7"/>
  <c r="O8"/>
  <c r="Z8" s="1"/>
  <c r="O9"/>
  <c r="O10"/>
  <c r="Z10" s="1"/>
  <c r="O11"/>
  <c r="O12"/>
  <c r="Z12" s="1"/>
  <c r="O13"/>
  <c r="O14"/>
  <c r="Z14" s="1"/>
  <c r="O15"/>
  <c r="O16"/>
  <c r="Z16" s="1"/>
  <c r="O17"/>
  <c r="O18"/>
  <c r="Z18" s="1"/>
  <c r="O19"/>
  <c r="O20"/>
  <c r="Z20" s="1"/>
  <c r="O21"/>
  <c r="O22"/>
  <c r="Z22" s="1"/>
  <c r="O23"/>
  <c r="O24"/>
  <c r="Z24" s="1"/>
  <c r="O25"/>
  <c r="O26"/>
  <c r="Z26" s="1"/>
  <c r="O27"/>
  <c r="O28"/>
  <c r="Z28" s="1"/>
  <c r="O29"/>
  <c r="O30"/>
  <c r="Z30" s="1"/>
  <c r="O31"/>
  <c r="O32"/>
  <c r="Z32" s="1"/>
  <c r="O33"/>
  <c r="O34"/>
  <c r="Z34" s="1"/>
  <c r="O35"/>
  <c r="O36"/>
  <c r="Z36" s="1"/>
  <c r="O37"/>
  <c r="O38"/>
  <c r="Z38" s="1"/>
  <c r="O39"/>
  <c r="O40"/>
  <c r="Z40" s="1"/>
  <c r="O41"/>
  <c r="O42"/>
  <c r="Z42" s="1"/>
  <c r="O43"/>
  <c r="O44"/>
  <c r="Z44" s="1"/>
  <c r="O45"/>
  <c r="O46"/>
  <c r="Z46" s="1"/>
  <c r="O47"/>
  <c r="O48"/>
  <c r="Z48" s="1"/>
  <c r="O49"/>
  <c r="O50"/>
  <c r="Z50" s="1"/>
  <c r="O51"/>
  <c r="O52"/>
  <c r="Z52" s="1"/>
  <c r="O53"/>
  <c r="O54"/>
  <c r="Z54" s="1"/>
  <c r="O55"/>
  <c r="O56"/>
  <c r="Z56" s="1"/>
  <c r="O57"/>
  <c r="O58"/>
  <c r="Z58" s="1"/>
  <c r="O59"/>
  <c r="O60"/>
  <c r="Z60" s="1"/>
  <c r="O61"/>
  <c r="O62"/>
  <c r="Z62" s="1"/>
  <c r="O63"/>
  <c r="O64"/>
  <c r="Z64" s="1"/>
  <c r="O65"/>
  <c r="O66"/>
  <c r="Z66" s="1"/>
  <c r="O67"/>
  <c r="O68"/>
  <c r="Z68" s="1"/>
  <c r="O69"/>
  <c r="O70"/>
  <c r="Z70" s="1"/>
  <c r="O71"/>
  <c r="O72"/>
  <c r="Z72" s="1"/>
  <c r="O73"/>
  <c r="O74"/>
  <c r="Z74" s="1"/>
  <c r="O75"/>
  <c r="O76"/>
  <c r="Z76" s="1"/>
  <c r="O77"/>
  <c r="O78"/>
  <c r="Z78" s="1"/>
  <c r="O79"/>
  <c r="O80"/>
  <c r="Z80" s="1"/>
  <c r="O81"/>
  <c r="O82"/>
  <c r="Z82" s="1"/>
  <c r="O83"/>
  <c r="O84"/>
  <c r="Z84" s="1"/>
  <c r="O85"/>
  <c r="O86"/>
  <c r="Z86" s="1"/>
  <c r="O87"/>
  <c r="O88"/>
  <c r="Z88" s="1"/>
  <c r="O89"/>
  <c r="O90"/>
  <c r="Z90" s="1"/>
  <c r="O91"/>
  <c r="O92"/>
  <c r="Z92" s="1"/>
  <c r="O93"/>
  <c r="O94"/>
  <c r="Z94" s="1"/>
  <c r="O95"/>
  <c r="O96"/>
  <c r="Z96" s="1"/>
  <c r="O97"/>
  <c r="O98"/>
  <c r="Z98" s="1"/>
  <c r="O99"/>
  <c r="O100"/>
  <c r="Z100" s="1"/>
  <c r="O101"/>
  <c r="O102"/>
  <c r="Z102" s="1"/>
  <c r="O103"/>
  <c r="O104"/>
  <c r="Z104" s="1"/>
  <c r="O105"/>
  <c r="O106"/>
  <c r="Z106" s="1"/>
  <c r="O107"/>
  <c r="O108"/>
  <c r="Z108" s="1"/>
  <c r="O109"/>
  <c r="O110"/>
  <c r="Z110" s="1"/>
  <c r="O111"/>
  <c r="O112"/>
  <c r="Z112" s="1"/>
  <c r="O113"/>
  <c r="O114"/>
  <c r="Z114" s="1"/>
  <c r="O115"/>
  <c r="O116"/>
  <c r="Z116" s="1"/>
  <c r="O117"/>
  <c r="O118"/>
  <c r="Z118" s="1"/>
  <c r="O119"/>
  <c r="O120"/>
  <c r="Z120" s="1"/>
  <c r="O121"/>
  <c r="O122"/>
  <c r="Z122" s="1"/>
  <c r="O123"/>
  <c r="O124"/>
  <c r="Z124" s="1"/>
  <c r="O125"/>
  <c r="O126"/>
  <c r="Z126" s="1"/>
  <c r="O127"/>
  <c r="O128"/>
  <c r="Z128" s="1"/>
  <c r="O129"/>
  <c r="O130"/>
  <c r="Z130" s="1"/>
  <c r="O131"/>
  <c r="O132"/>
  <c r="Z132" s="1"/>
  <c r="O133"/>
  <c r="O134"/>
  <c r="Z134" s="1"/>
  <c r="O135"/>
  <c r="O136"/>
  <c r="Z136" s="1"/>
  <c r="O137"/>
  <c r="O138"/>
  <c r="Z138" s="1"/>
  <c r="O4"/>
  <c r="AC85" i="1"/>
  <c r="AP85" s="1"/>
  <c r="AL75"/>
  <c r="AY75" s="1"/>
  <c r="AL76"/>
  <c r="AY76" s="1"/>
  <c r="AL77"/>
  <c r="AY77" s="1"/>
  <c r="AL78"/>
  <c r="AY78" s="1"/>
  <c r="AL79"/>
  <c r="AY79" s="1"/>
  <c r="AL80"/>
  <c r="AY80" s="1"/>
  <c r="AL81"/>
  <c r="AY81" s="1"/>
  <c r="AL82"/>
  <c r="AY82" s="1"/>
  <c r="AL83"/>
  <c r="AY83" s="1"/>
  <c r="AL84"/>
  <c r="AY84" s="1"/>
  <c r="AL85"/>
  <c r="AY85" s="1"/>
  <c r="AK75"/>
  <c r="AX75" s="1"/>
  <c r="AK76"/>
  <c r="AX76" s="1"/>
  <c r="AK77"/>
  <c r="AX77" s="1"/>
  <c r="AK78"/>
  <c r="AX78" s="1"/>
  <c r="AK79"/>
  <c r="AX79" s="1"/>
  <c r="AK80"/>
  <c r="AX80" s="1"/>
  <c r="AK81"/>
  <c r="AX81" s="1"/>
  <c r="AK82"/>
  <c r="AX82" s="1"/>
  <c r="AK83"/>
  <c r="AX83" s="1"/>
  <c r="AK84"/>
  <c r="AX84" s="1"/>
  <c r="AK85"/>
  <c r="AX85" s="1"/>
  <c r="AJ75"/>
  <c r="AW75" s="1"/>
  <c r="AJ76"/>
  <c r="AW76" s="1"/>
  <c r="AJ77"/>
  <c r="AW77" s="1"/>
  <c r="AJ78"/>
  <c r="AW78" s="1"/>
  <c r="AJ79"/>
  <c r="AW79" s="1"/>
  <c r="AJ80"/>
  <c r="AW80" s="1"/>
  <c r="AJ81"/>
  <c r="AW81" s="1"/>
  <c r="AJ82"/>
  <c r="AW82" s="1"/>
  <c r="AJ83"/>
  <c r="AW83" s="1"/>
  <c r="AJ84"/>
  <c r="AW84" s="1"/>
  <c r="AJ85"/>
  <c r="AW85" s="1"/>
  <c r="AI75"/>
  <c r="AV75" s="1"/>
  <c r="AI76"/>
  <c r="AV76" s="1"/>
  <c r="AI77"/>
  <c r="AV77" s="1"/>
  <c r="AI78"/>
  <c r="AV78" s="1"/>
  <c r="AI79"/>
  <c r="AV79" s="1"/>
  <c r="AI80"/>
  <c r="AV80" s="1"/>
  <c r="AI81"/>
  <c r="AV81" s="1"/>
  <c r="AI82"/>
  <c r="AV82" s="1"/>
  <c r="AI83"/>
  <c r="AV83" s="1"/>
  <c r="AI84"/>
  <c r="AV84" s="1"/>
  <c r="AI85"/>
  <c r="AV85" s="1"/>
  <c r="AH75"/>
  <c r="AU75" s="1"/>
  <c r="AH76"/>
  <c r="AU76" s="1"/>
  <c r="AH77"/>
  <c r="AU77" s="1"/>
  <c r="AH78"/>
  <c r="AU78" s="1"/>
  <c r="AH79"/>
  <c r="AU79" s="1"/>
  <c r="AH80"/>
  <c r="AU80" s="1"/>
  <c r="AH81"/>
  <c r="AU81" s="1"/>
  <c r="AH82"/>
  <c r="AU82" s="1"/>
  <c r="AH83"/>
  <c r="AU83" s="1"/>
  <c r="AH84"/>
  <c r="AU84" s="1"/>
  <c r="AH85"/>
  <c r="AU85" s="1"/>
  <c r="AG75"/>
  <c r="AT75" s="1"/>
  <c r="AG76"/>
  <c r="AT76" s="1"/>
  <c r="AG77"/>
  <c r="AT77" s="1"/>
  <c r="AG78"/>
  <c r="AT78" s="1"/>
  <c r="AG79"/>
  <c r="AT79" s="1"/>
  <c r="AG80"/>
  <c r="AT80" s="1"/>
  <c r="AG81"/>
  <c r="AT81" s="1"/>
  <c r="AG82"/>
  <c r="AT82" s="1"/>
  <c r="AG83"/>
  <c r="AT83" s="1"/>
  <c r="AG84"/>
  <c r="AT84" s="1"/>
  <c r="AG85"/>
  <c r="AT85" s="1"/>
  <c r="AF75"/>
  <c r="AS75" s="1"/>
  <c r="AF76"/>
  <c r="AS76" s="1"/>
  <c r="AF77"/>
  <c r="AS77" s="1"/>
  <c r="AF78"/>
  <c r="AS78" s="1"/>
  <c r="AF79"/>
  <c r="AS79" s="1"/>
  <c r="AF80"/>
  <c r="AS80" s="1"/>
  <c r="AF81"/>
  <c r="AS81" s="1"/>
  <c r="AF82"/>
  <c r="AS82" s="1"/>
  <c r="AF83"/>
  <c r="AS83" s="1"/>
  <c r="AF84"/>
  <c r="AS84" s="1"/>
  <c r="AF85"/>
  <c r="AS85" s="1"/>
  <c r="AE75"/>
  <c r="AR75" s="1"/>
  <c r="AE76"/>
  <c r="AR76" s="1"/>
  <c r="AE77"/>
  <c r="AR77" s="1"/>
  <c r="AE78"/>
  <c r="AR78" s="1"/>
  <c r="AE79"/>
  <c r="AR79" s="1"/>
  <c r="AE80"/>
  <c r="AR80" s="1"/>
  <c r="AE81"/>
  <c r="AR81" s="1"/>
  <c r="AE82"/>
  <c r="AR82" s="1"/>
  <c r="AE83"/>
  <c r="AR83" s="1"/>
  <c r="AE84"/>
  <c r="AR84" s="1"/>
  <c r="AE85"/>
  <c r="AR85" s="1"/>
  <c r="AD75"/>
  <c r="AQ75" s="1"/>
  <c r="AD76"/>
  <c r="AQ76" s="1"/>
  <c r="AD77"/>
  <c r="AQ77" s="1"/>
  <c r="AD78"/>
  <c r="AQ78" s="1"/>
  <c r="AD79"/>
  <c r="AQ79" s="1"/>
  <c r="AD80"/>
  <c r="AQ80" s="1"/>
  <c r="AD81"/>
  <c r="AQ81" s="1"/>
  <c r="AD82"/>
  <c r="AQ82" s="1"/>
  <c r="AD83"/>
  <c r="AQ83" s="1"/>
  <c r="AD84"/>
  <c r="AQ84" s="1"/>
  <c r="AD85"/>
  <c r="AQ85" s="1"/>
  <c r="AC75"/>
  <c r="AC76"/>
  <c r="AP76" s="1"/>
  <c r="AC77"/>
  <c r="AC78"/>
  <c r="AP78" s="1"/>
  <c r="AC79"/>
  <c r="AC80"/>
  <c r="AP80" s="1"/>
  <c r="AC81"/>
  <c r="AC82"/>
  <c r="AP82" s="1"/>
  <c r="AC83"/>
  <c r="AC84"/>
  <c r="AP84" s="1"/>
  <c r="AD74"/>
  <c r="AQ74" s="1"/>
  <c r="AE74"/>
  <c r="AR74" s="1"/>
  <c r="AF74"/>
  <c r="AS74" s="1"/>
  <c r="AG74"/>
  <c r="AT74" s="1"/>
  <c r="AH74"/>
  <c r="AU74" s="1"/>
  <c r="AI74"/>
  <c r="AV74" s="1"/>
  <c r="AJ74"/>
  <c r="AW74" s="1"/>
  <c r="AK74"/>
  <c r="AX74" s="1"/>
  <c r="AL74"/>
  <c r="AY74" s="1"/>
  <c r="AC74"/>
  <c r="AP74" s="1"/>
  <c r="AC7"/>
  <c r="AL5"/>
  <c r="AY5" s="1"/>
  <c r="AL6"/>
  <c r="AY6" s="1"/>
  <c r="AL7"/>
  <c r="AY7" s="1"/>
  <c r="AL8"/>
  <c r="AY8" s="1"/>
  <c r="AL9"/>
  <c r="AY9" s="1"/>
  <c r="AL10"/>
  <c r="AY10" s="1"/>
  <c r="AL11"/>
  <c r="AY11" s="1"/>
  <c r="AL12"/>
  <c r="AY12" s="1"/>
  <c r="AL13"/>
  <c r="AY13" s="1"/>
  <c r="AL14"/>
  <c r="AY14" s="1"/>
  <c r="AL15"/>
  <c r="AY15" s="1"/>
  <c r="AL16"/>
  <c r="AY16" s="1"/>
  <c r="AL17"/>
  <c r="AY17" s="1"/>
  <c r="AL18"/>
  <c r="AY18" s="1"/>
  <c r="AL19"/>
  <c r="AY19" s="1"/>
  <c r="AL20"/>
  <c r="AY20" s="1"/>
  <c r="AL21"/>
  <c r="AY21" s="1"/>
  <c r="AL22"/>
  <c r="AY22" s="1"/>
  <c r="AL23"/>
  <c r="AY23" s="1"/>
  <c r="AL24"/>
  <c r="AY24" s="1"/>
  <c r="AL25"/>
  <c r="AY25" s="1"/>
  <c r="AL26"/>
  <c r="AY26" s="1"/>
  <c r="AL27"/>
  <c r="AY27" s="1"/>
  <c r="AL28"/>
  <c r="AY28" s="1"/>
  <c r="AL29"/>
  <c r="AY29" s="1"/>
  <c r="AL30"/>
  <c r="AY30" s="1"/>
  <c r="AL31"/>
  <c r="AY31" s="1"/>
  <c r="AL32"/>
  <c r="AY32" s="1"/>
  <c r="AL33"/>
  <c r="AY33" s="1"/>
  <c r="AL34"/>
  <c r="AY34" s="1"/>
  <c r="AL35"/>
  <c r="AY35" s="1"/>
  <c r="AL36"/>
  <c r="AY36" s="1"/>
  <c r="AL37"/>
  <c r="AY37" s="1"/>
  <c r="AL38"/>
  <c r="AY38" s="1"/>
  <c r="AL39"/>
  <c r="AY39" s="1"/>
  <c r="AL40"/>
  <c r="AY40" s="1"/>
  <c r="AL41"/>
  <c r="AY41" s="1"/>
  <c r="AL42"/>
  <c r="AY42" s="1"/>
  <c r="AL43"/>
  <c r="AY43" s="1"/>
  <c r="AL44"/>
  <c r="AY44" s="1"/>
  <c r="AL45"/>
  <c r="AY45" s="1"/>
  <c r="AL46"/>
  <c r="AY46" s="1"/>
  <c r="AL47"/>
  <c r="AY47" s="1"/>
  <c r="AL48"/>
  <c r="AY48" s="1"/>
  <c r="AL49"/>
  <c r="AY49" s="1"/>
  <c r="AL50"/>
  <c r="AY50" s="1"/>
  <c r="AL51"/>
  <c r="AY51" s="1"/>
  <c r="AL52"/>
  <c r="AY52" s="1"/>
  <c r="AL53"/>
  <c r="AY53" s="1"/>
  <c r="AL54"/>
  <c r="AY54" s="1"/>
  <c r="AL55"/>
  <c r="AY55" s="1"/>
  <c r="AL56"/>
  <c r="AY56" s="1"/>
  <c r="AL57"/>
  <c r="AY57" s="1"/>
  <c r="AL58"/>
  <c r="AY58" s="1"/>
  <c r="AL59"/>
  <c r="AY59" s="1"/>
  <c r="AL60"/>
  <c r="AY60" s="1"/>
  <c r="AL61"/>
  <c r="AY61" s="1"/>
  <c r="AL62"/>
  <c r="AY62" s="1"/>
  <c r="AL63"/>
  <c r="AY63" s="1"/>
  <c r="AL64"/>
  <c r="AY64" s="1"/>
  <c r="AL65"/>
  <c r="AY65" s="1"/>
  <c r="AL66"/>
  <c r="AY66" s="1"/>
  <c r="AL67"/>
  <c r="AY67" s="1"/>
  <c r="AL68"/>
  <c r="AY68" s="1"/>
  <c r="AL69"/>
  <c r="AY69" s="1"/>
  <c r="AL70"/>
  <c r="AY70" s="1"/>
  <c r="AL72"/>
  <c r="AL4"/>
  <c r="AY4" s="1"/>
  <c r="AK5"/>
  <c r="AX5" s="1"/>
  <c r="AK6"/>
  <c r="AX6" s="1"/>
  <c r="AK7"/>
  <c r="AX7" s="1"/>
  <c r="AK8"/>
  <c r="AX8" s="1"/>
  <c r="AK9"/>
  <c r="AX9" s="1"/>
  <c r="AK10"/>
  <c r="AX10" s="1"/>
  <c r="AK11"/>
  <c r="AX11" s="1"/>
  <c r="AK12"/>
  <c r="AX12" s="1"/>
  <c r="AK13"/>
  <c r="AX13" s="1"/>
  <c r="AK14"/>
  <c r="AX14" s="1"/>
  <c r="AK15"/>
  <c r="AX15" s="1"/>
  <c r="AK16"/>
  <c r="AX16" s="1"/>
  <c r="AK17"/>
  <c r="AX17" s="1"/>
  <c r="AK18"/>
  <c r="AX18" s="1"/>
  <c r="AK19"/>
  <c r="AX19" s="1"/>
  <c r="AK20"/>
  <c r="AX20" s="1"/>
  <c r="AK21"/>
  <c r="AX21" s="1"/>
  <c r="AK22"/>
  <c r="AX22" s="1"/>
  <c r="AK23"/>
  <c r="AX23" s="1"/>
  <c r="AK24"/>
  <c r="AX24" s="1"/>
  <c r="AK25"/>
  <c r="AX25" s="1"/>
  <c r="AK26"/>
  <c r="AX26" s="1"/>
  <c r="AK27"/>
  <c r="AX27" s="1"/>
  <c r="AK28"/>
  <c r="AX28" s="1"/>
  <c r="AK29"/>
  <c r="AX29" s="1"/>
  <c r="AK30"/>
  <c r="AX30" s="1"/>
  <c r="AK31"/>
  <c r="AX31" s="1"/>
  <c r="AK32"/>
  <c r="AX32" s="1"/>
  <c r="AK33"/>
  <c r="AX33" s="1"/>
  <c r="AK34"/>
  <c r="AX34" s="1"/>
  <c r="AK35"/>
  <c r="AX35" s="1"/>
  <c r="AK36"/>
  <c r="AX36" s="1"/>
  <c r="AK37"/>
  <c r="AX37" s="1"/>
  <c r="AK38"/>
  <c r="AX38" s="1"/>
  <c r="AK39"/>
  <c r="AX39" s="1"/>
  <c r="AK40"/>
  <c r="AX40" s="1"/>
  <c r="AK41"/>
  <c r="AX41" s="1"/>
  <c r="AK42"/>
  <c r="AX42" s="1"/>
  <c r="AK43"/>
  <c r="AX43" s="1"/>
  <c r="AK44"/>
  <c r="AX44" s="1"/>
  <c r="AK45"/>
  <c r="AX45" s="1"/>
  <c r="AK46"/>
  <c r="AX46" s="1"/>
  <c r="AK47"/>
  <c r="AX47" s="1"/>
  <c r="AK48"/>
  <c r="AX48" s="1"/>
  <c r="AK49"/>
  <c r="AX49" s="1"/>
  <c r="AK50"/>
  <c r="AX50" s="1"/>
  <c r="AK51"/>
  <c r="AX51" s="1"/>
  <c r="AK52"/>
  <c r="AX52" s="1"/>
  <c r="AK53"/>
  <c r="AX53" s="1"/>
  <c r="AK54"/>
  <c r="AX54" s="1"/>
  <c r="AK55"/>
  <c r="AX55" s="1"/>
  <c r="AK56"/>
  <c r="AX56" s="1"/>
  <c r="AK57"/>
  <c r="AX57" s="1"/>
  <c r="AK58"/>
  <c r="AX58" s="1"/>
  <c r="AK59"/>
  <c r="AX59" s="1"/>
  <c r="AK60"/>
  <c r="AX60" s="1"/>
  <c r="AK61"/>
  <c r="AX61" s="1"/>
  <c r="AK62"/>
  <c r="AX62" s="1"/>
  <c r="AK63"/>
  <c r="AX63" s="1"/>
  <c r="AK64"/>
  <c r="AX64" s="1"/>
  <c r="AK65"/>
  <c r="AX65" s="1"/>
  <c r="AK66"/>
  <c r="AX66" s="1"/>
  <c r="AK67"/>
  <c r="AX67" s="1"/>
  <c r="AK68"/>
  <c r="AX68" s="1"/>
  <c r="AK69"/>
  <c r="AX69" s="1"/>
  <c r="AK70"/>
  <c r="AX70" s="1"/>
  <c r="AK72"/>
  <c r="AJ5"/>
  <c r="AW5" s="1"/>
  <c r="AJ6"/>
  <c r="AW6" s="1"/>
  <c r="AJ7"/>
  <c r="AW7" s="1"/>
  <c r="AJ8"/>
  <c r="AW8" s="1"/>
  <c r="AJ9"/>
  <c r="AW9" s="1"/>
  <c r="AJ10"/>
  <c r="AW10" s="1"/>
  <c r="AJ11"/>
  <c r="AW11" s="1"/>
  <c r="AJ12"/>
  <c r="AW12" s="1"/>
  <c r="AJ13"/>
  <c r="AW13" s="1"/>
  <c r="AJ14"/>
  <c r="AW14" s="1"/>
  <c r="AJ15"/>
  <c r="AW15" s="1"/>
  <c r="AJ16"/>
  <c r="AW16" s="1"/>
  <c r="AJ17"/>
  <c r="AW17" s="1"/>
  <c r="AJ18"/>
  <c r="AW18" s="1"/>
  <c r="AJ19"/>
  <c r="AW19" s="1"/>
  <c r="AJ20"/>
  <c r="AW20" s="1"/>
  <c r="AJ21"/>
  <c r="AW21" s="1"/>
  <c r="AJ22"/>
  <c r="AW22" s="1"/>
  <c r="AJ23"/>
  <c r="AW23" s="1"/>
  <c r="AJ24"/>
  <c r="AW24" s="1"/>
  <c r="AJ25"/>
  <c r="AW25" s="1"/>
  <c r="AJ26"/>
  <c r="AW26" s="1"/>
  <c r="AJ27"/>
  <c r="AW27" s="1"/>
  <c r="AJ28"/>
  <c r="AW28" s="1"/>
  <c r="AJ29"/>
  <c r="AW29" s="1"/>
  <c r="AJ30"/>
  <c r="AW30" s="1"/>
  <c r="AJ31"/>
  <c r="AW31" s="1"/>
  <c r="AJ32"/>
  <c r="AW32" s="1"/>
  <c r="AJ33"/>
  <c r="AW33" s="1"/>
  <c r="AJ34"/>
  <c r="AW34" s="1"/>
  <c r="AJ35"/>
  <c r="AW35" s="1"/>
  <c r="AJ36"/>
  <c r="AW36" s="1"/>
  <c r="AJ37"/>
  <c r="AW37" s="1"/>
  <c r="AJ38"/>
  <c r="AW38" s="1"/>
  <c r="AJ39"/>
  <c r="AW39" s="1"/>
  <c r="AJ40"/>
  <c r="AW40" s="1"/>
  <c r="AJ41"/>
  <c r="AW41" s="1"/>
  <c r="AJ42"/>
  <c r="AW42" s="1"/>
  <c r="AJ43"/>
  <c r="AW43" s="1"/>
  <c r="AJ44"/>
  <c r="AW44" s="1"/>
  <c r="AJ45"/>
  <c r="AW45" s="1"/>
  <c r="AJ46"/>
  <c r="AW46" s="1"/>
  <c r="AJ47"/>
  <c r="AW47" s="1"/>
  <c r="AJ48"/>
  <c r="AW48" s="1"/>
  <c r="AJ49"/>
  <c r="AW49" s="1"/>
  <c r="AJ50"/>
  <c r="AW50" s="1"/>
  <c r="AJ51"/>
  <c r="AW51" s="1"/>
  <c r="AJ52"/>
  <c r="AW52" s="1"/>
  <c r="AJ53"/>
  <c r="AW53" s="1"/>
  <c r="AJ54"/>
  <c r="AW54" s="1"/>
  <c r="AJ55"/>
  <c r="AW55" s="1"/>
  <c r="AJ56"/>
  <c r="AW56" s="1"/>
  <c r="AJ57"/>
  <c r="AW57" s="1"/>
  <c r="AJ58"/>
  <c r="AW58" s="1"/>
  <c r="AJ59"/>
  <c r="AW59" s="1"/>
  <c r="AJ60"/>
  <c r="AW60" s="1"/>
  <c r="AJ61"/>
  <c r="AW61" s="1"/>
  <c r="AJ62"/>
  <c r="AW62" s="1"/>
  <c r="AJ63"/>
  <c r="AW63" s="1"/>
  <c r="AJ64"/>
  <c r="AW64" s="1"/>
  <c r="AJ65"/>
  <c r="AW65" s="1"/>
  <c r="AJ66"/>
  <c r="AW66" s="1"/>
  <c r="AJ67"/>
  <c r="AW67" s="1"/>
  <c r="AJ68"/>
  <c r="AW68" s="1"/>
  <c r="AJ69"/>
  <c r="AW69" s="1"/>
  <c r="AJ70"/>
  <c r="AW70" s="1"/>
  <c r="AJ72"/>
  <c r="AI5"/>
  <c r="AV5" s="1"/>
  <c r="AI6"/>
  <c r="AV6" s="1"/>
  <c r="AI7"/>
  <c r="AV7" s="1"/>
  <c r="AI8"/>
  <c r="AV8" s="1"/>
  <c r="AI9"/>
  <c r="AV9" s="1"/>
  <c r="AI10"/>
  <c r="AV10" s="1"/>
  <c r="AI11"/>
  <c r="AV11" s="1"/>
  <c r="AI12"/>
  <c r="AV12" s="1"/>
  <c r="AI13"/>
  <c r="AV13" s="1"/>
  <c r="AI14"/>
  <c r="AV14" s="1"/>
  <c r="AI15"/>
  <c r="AV15" s="1"/>
  <c r="AI16"/>
  <c r="AV16" s="1"/>
  <c r="AI17"/>
  <c r="AV17" s="1"/>
  <c r="AI18"/>
  <c r="AV18" s="1"/>
  <c r="AI19"/>
  <c r="AV19" s="1"/>
  <c r="AI20"/>
  <c r="AV20" s="1"/>
  <c r="AI21"/>
  <c r="AV21" s="1"/>
  <c r="AI22"/>
  <c r="AV22" s="1"/>
  <c r="AI23"/>
  <c r="AV23" s="1"/>
  <c r="AI24"/>
  <c r="AV24" s="1"/>
  <c r="AI25"/>
  <c r="AV25" s="1"/>
  <c r="AI26"/>
  <c r="AV26" s="1"/>
  <c r="AI27"/>
  <c r="AV27" s="1"/>
  <c r="AI28"/>
  <c r="AV28" s="1"/>
  <c r="AI29"/>
  <c r="AV29" s="1"/>
  <c r="AI30"/>
  <c r="AV30" s="1"/>
  <c r="AI31"/>
  <c r="AV31" s="1"/>
  <c r="AI32"/>
  <c r="AV32" s="1"/>
  <c r="AI33"/>
  <c r="AV33" s="1"/>
  <c r="AI34"/>
  <c r="AV34" s="1"/>
  <c r="AI35"/>
  <c r="AV35" s="1"/>
  <c r="AI36"/>
  <c r="AV36" s="1"/>
  <c r="AI37"/>
  <c r="AV37" s="1"/>
  <c r="AI38"/>
  <c r="AV38" s="1"/>
  <c r="AI39"/>
  <c r="AV39" s="1"/>
  <c r="AI40"/>
  <c r="AV40" s="1"/>
  <c r="AI41"/>
  <c r="AV41" s="1"/>
  <c r="AI42"/>
  <c r="AV42" s="1"/>
  <c r="AI43"/>
  <c r="AV43" s="1"/>
  <c r="AI44"/>
  <c r="AV44" s="1"/>
  <c r="AI45"/>
  <c r="AV45" s="1"/>
  <c r="AI46"/>
  <c r="AV46" s="1"/>
  <c r="AI47"/>
  <c r="AV47" s="1"/>
  <c r="AI48"/>
  <c r="AV48" s="1"/>
  <c r="AI49"/>
  <c r="AV49" s="1"/>
  <c r="AI50"/>
  <c r="AV50" s="1"/>
  <c r="AI51"/>
  <c r="AV51" s="1"/>
  <c r="AI52"/>
  <c r="AV52" s="1"/>
  <c r="AI53"/>
  <c r="AV53" s="1"/>
  <c r="AI54"/>
  <c r="AV54" s="1"/>
  <c r="AI55"/>
  <c r="AV55" s="1"/>
  <c r="AI56"/>
  <c r="AV56" s="1"/>
  <c r="AI57"/>
  <c r="AV57" s="1"/>
  <c r="AI58"/>
  <c r="AV58" s="1"/>
  <c r="AI59"/>
  <c r="AV59" s="1"/>
  <c r="AI60"/>
  <c r="AV60" s="1"/>
  <c r="AI61"/>
  <c r="AV61" s="1"/>
  <c r="AI62"/>
  <c r="AV62" s="1"/>
  <c r="AI63"/>
  <c r="AV63" s="1"/>
  <c r="AI64"/>
  <c r="AV64" s="1"/>
  <c r="AI65"/>
  <c r="AV65" s="1"/>
  <c r="AI66"/>
  <c r="AV66" s="1"/>
  <c r="AI67"/>
  <c r="AV67" s="1"/>
  <c r="AI68"/>
  <c r="AV68" s="1"/>
  <c r="AI69"/>
  <c r="AV69" s="1"/>
  <c r="AI70"/>
  <c r="AV70" s="1"/>
  <c r="AI72"/>
  <c r="AH5"/>
  <c r="AU5" s="1"/>
  <c r="AH6"/>
  <c r="AU6" s="1"/>
  <c r="AH7"/>
  <c r="AU7" s="1"/>
  <c r="AH8"/>
  <c r="AU8" s="1"/>
  <c r="AH9"/>
  <c r="AU9" s="1"/>
  <c r="AH10"/>
  <c r="AU10" s="1"/>
  <c r="AH11"/>
  <c r="AU11" s="1"/>
  <c r="AH12"/>
  <c r="AU12" s="1"/>
  <c r="AH13"/>
  <c r="AU13" s="1"/>
  <c r="AH14"/>
  <c r="AU14" s="1"/>
  <c r="AH15"/>
  <c r="AU15" s="1"/>
  <c r="AH16"/>
  <c r="AU16" s="1"/>
  <c r="AH17"/>
  <c r="AU17" s="1"/>
  <c r="AH18"/>
  <c r="AU18" s="1"/>
  <c r="AH19"/>
  <c r="AU19" s="1"/>
  <c r="AH20"/>
  <c r="AU20" s="1"/>
  <c r="AH21"/>
  <c r="AU21" s="1"/>
  <c r="AH22"/>
  <c r="AU22" s="1"/>
  <c r="AH23"/>
  <c r="AU23" s="1"/>
  <c r="AH24"/>
  <c r="AU24" s="1"/>
  <c r="AH25"/>
  <c r="AU25" s="1"/>
  <c r="AH26"/>
  <c r="AU26" s="1"/>
  <c r="AH27"/>
  <c r="AU27" s="1"/>
  <c r="AH28"/>
  <c r="AU28" s="1"/>
  <c r="AH29"/>
  <c r="AU29" s="1"/>
  <c r="AH30"/>
  <c r="AU30" s="1"/>
  <c r="AH31"/>
  <c r="AU31" s="1"/>
  <c r="AH32"/>
  <c r="AU32" s="1"/>
  <c r="AH33"/>
  <c r="AU33" s="1"/>
  <c r="AH34"/>
  <c r="AU34" s="1"/>
  <c r="AH35"/>
  <c r="AU35" s="1"/>
  <c r="AH36"/>
  <c r="AU36" s="1"/>
  <c r="AH37"/>
  <c r="AU37" s="1"/>
  <c r="AH38"/>
  <c r="AU38" s="1"/>
  <c r="AH39"/>
  <c r="AU39" s="1"/>
  <c r="AH40"/>
  <c r="AU40" s="1"/>
  <c r="AH41"/>
  <c r="AU41" s="1"/>
  <c r="AH42"/>
  <c r="AU42" s="1"/>
  <c r="AH43"/>
  <c r="AU43" s="1"/>
  <c r="AH44"/>
  <c r="AU44" s="1"/>
  <c r="AH45"/>
  <c r="AU45" s="1"/>
  <c r="AH46"/>
  <c r="AU46" s="1"/>
  <c r="AH47"/>
  <c r="AU47" s="1"/>
  <c r="AH48"/>
  <c r="AU48" s="1"/>
  <c r="AH49"/>
  <c r="AU49" s="1"/>
  <c r="AH50"/>
  <c r="AU50" s="1"/>
  <c r="AH51"/>
  <c r="AU51" s="1"/>
  <c r="AH52"/>
  <c r="AU52" s="1"/>
  <c r="AH53"/>
  <c r="AU53" s="1"/>
  <c r="AH54"/>
  <c r="AU54" s="1"/>
  <c r="AH55"/>
  <c r="AU55" s="1"/>
  <c r="AH56"/>
  <c r="AU56" s="1"/>
  <c r="AH57"/>
  <c r="AU57" s="1"/>
  <c r="AH58"/>
  <c r="AU58" s="1"/>
  <c r="AH59"/>
  <c r="AU59" s="1"/>
  <c r="AH60"/>
  <c r="AU60" s="1"/>
  <c r="AH61"/>
  <c r="AU61" s="1"/>
  <c r="AH62"/>
  <c r="AU62" s="1"/>
  <c r="AH63"/>
  <c r="AU63" s="1"/>
  <c r="AH64"/>
  <c r="AU64" s="1"/>
  <c r="AH65"/>
  <c r="AU65" s="1"/>
  <c r="AH66"/>
  <c r="AU66" s="1"/>
  <c r="AH67"/>
  <c r="AU67" s="1"/>
  <c r="AH68"/>
  <c r="AU68" s="1"/>
  <c r="AH69"/>
  <c r="AU69" s="1"/>
  <c r="AH70"/>
  <c r="AU70" s="1"/>
  <c r="AH72"/>
  <c r="AG5"/>
  <c r="AT5" s="1"/>
  <c r="AG6"/>
  <c r="AT6" s="1"/>
  <c r="AG7"/>
  <c r="AT7" s="1"/>
  <c r="AG8"/>
  <c r="AG9"/>
  <c r="AT9" s="1"/>
  <c r="AG10"/>
  <c r="AG11"/>
  <c r="AT11" s="1"/>
  <c r="AG12"/>
  <c r="AG13"/>
  <c r="AT13" s="1"/>
  <c r="AG14"/>
  <c r="AG15"/>
  <c r="AT15" s="1"/>
  <c r="AG16"/>
  <c r="AG17"/>
  <c r="AT17" s="1"/>
  <c r="AG18"/>
  <c r="AG19"/>
  <c r="AT19" s="1"/>
  <c r="AG20"/>
  <c r="AG21"/>
  <c r="AT21" s="1"/>
  <c r="AG22"/>
  <c r="AG23"/>
  <c r="AT23" s="1"/>
  <c r="AG24"/>
  <c r="AG25"/>
  <c r="AT25" s="1"/>
  <c r="AG26"/>
  <c r="AG27"/>
  <c r="AT27" s="1"/>
  <c r="AG28"/>
  <c r="AG29"/>
  <c r="AT29" s="1"/>
  <c r="AG30"/>
  <c r="AG31"/>
  <c r="AT31" s="1"/>
  <c r="AG32"/>
  <c r="AG33"/>
  <c r="AT33" s="1"/>
  <c r="AG34"/>
  <c r="AG35"/>
  <c r="AT35" s="1"/>
  <c r="AG36"/>
  <c r="AG37"/>
  <c r="AT37" s="1"/>
  <c r="AG38"/>
  <c r="AG39"/>
  <c r="AT39" s="1"/>
  <c r="AG40"/>
  <c r="AG41"/>
  <c r="AT41" s="1"/>
  <c r="AG42"/>
  <c r="AG43"/>
  <c r="AT43" s="1"/>
  <c r="AG44"/>
  <c r="AG45"/>
  <c r="AT45" s="1"/>
  <c r="AG46"/>
  <c r="AG47"/>
  <c r="AT47" s="1"/>
  <c r="AG48"/>
  <c r="AG49"/>
  <c r="AT49" s="1"/>
  <c r="AG50"/>
  <c r="AG51"/>
  <c r="AT51" s="1"/>
  <c r="AG52"/>
  <c r="AG53"/>
  <c r="AT53" s="1"/>
  <c r="AG54"/>
  <c r="AG55"/>
  <c r="AT55" s="1"/>
  <c r="AG56"/>
  <c r="AG57"/>
  <c r="AT57" s="1"/>
  <c r="AG58"/>
  <c r="AG59"/>
  <c r="AT59" s="1"/>
  <c r="AG60"/>
  <c r="AG61"/>
  <c r="AT61" s="1"/>
  <c r="AG62"/>
  <c r="AG63"/>
  <c r="AT63" s="1"/>
  <c r="AG64"/>
  <c r="AG65"/>
  <c r="AT65" s="1"/>
  <c r="AG66"/>
  <c r="AG67"/>
  <c r="AT67" s="1"/>
  <c r="AG68"/>
  <c r="AG69"/>
  <c r="AT69" s="1"/>
  <c r="AG70"/>
  <c r="AG72"/>
  <c r="AG4"/>
  <c r="AT4" s="1"/>
  <c r="AH4"/>
  <c r="AU4" s="1"/>
  <c r="AI4"/>
  <c r="AV4" s="1"/>
  <c r="AJ4"/>
  <c r="AW4" s="1"/>
  <c r="AK4"/>
  <c r="AX4" s="1"/>
  <c r="AF5"/>
  <c r="AS5" s="1"/>
  <c r="AF6"/>
  <c r="AS6" s="1"/>
  <c r="AF7"/>
  <c r="AS7" s="1"/>
  <c r="AF8"/>
  <c r="AS8" s="1"/>
  <c r="AF9"/>
  <c r="AS9" s="1"/>
  <c r="AF10"/>
  <c r="AS10" s="1"/>
  <c r="AF11"/>
  <c r="AS11" s="1"/>
  <c r="AF12"/>
  <c r="AS12" s="1"/>
  <c r="AF13"/>
  <c r="AS13" s="1"/>
  <c r="AF14"/>
  <c r="AS14" s="1"/>
  <c r="AF15"/>
  <c r="AS15" s="1"/>
  <c r="AF16"/>
  <c r="AS16" s="1"/>
  <c r="AF17"/>
  <c r="AS17" s="1"/>
  <c r="AF18"/>
  <c r="AS18" s="1"/>
  <c r="AF19"/>
  <c r="AS19" s="1"/>
  <c r="AF20"/>
  <c r="AS20" s="1"/>
  <c r="AF21"/>
  <c r="AS21" s="1"/>
  <c r="AF22"/>
  <c r="AS22" s="1"/>
  <c r="AF23"/>
  <c r="AS23" s="1"/>
  <c r="AF24"/>
  <c r="AS24" s="1"/>
  <c r="AF25"/>
  <c r="AS25" s="1"/>
  <c r="AF26"/>
  <c r="AS26" s="1"/>
  <c r="AF27"/>
  <c r="AS27" s="1"/>
  <c r="AF28"/>
  <c r="AS28" s="1"/>
  <c r="AF29"/>
  <c r="AS29" s="1"/>
  <c r="AF30"/>
  <c r="AS30" s="1"/>
  <c r="AF31"/>
  <c r="AS31" s="1"/>
  <c r="AF32"/>
  <c r="AS32" s="1"/>
  <c r="AF33"/>
  <c r="AS33" s="1"/>
  <c r="AF34"/>
  <c r="AS34" s="1"/>
  <c r="AF35"/>
  <c r="AS35" s="1"/>
  <c r="AF36"/>
  <c r="AS36" s="1"/>
  <c r="AF37"/>
  <c r="AS37" s="1"/>
  <c r="AF38"/>
  <c r="AS38" s="1"/>
  <c r="AF39"/>
  <c r="AS39" s="1"/>
  <c r="AF40"/>
  <c r="AS40" s="1"/>
  <c r="AF41"/>
  <c r="AS41" s="1"/>
  <c r="AF42"/>
  <c r="AS42" s="1"/>
  <c r="AF43"/>
  <c r="AS43" s="1"/>
  <c r="AF44"/>
  <c r="AS44" s="1"/>
  <c r="AF45"/>
  <c r="AS45" s="1"/>
  <c r="AF46"/>
  <c r="AS46" s="1"/>
  <c r="AF47"/>
  <c r="AS47" s="1"/>
  <c r="AF48"/>
  <c r="AS48" s="1"/>
  <c r="AF49"/>
  <c r="AS49" s="1"/>
  <c r="AF50"/>
  <c r="AS50" s="1"/>
  <c r="AF51"/>
  <c r="AS51" s="1"/>
  <c r="AF52"/>
  <c r="AS52" s="1"/>
  <c r="AF53"/>
  <c r="AS53" s="1"/>
  <c r="AF54"/>
  <c r="AS54" s="1"/>
  <c r="AF55"/>
  <c r="AS55" s="1"/>
  <c r="AF56"/>
  <c r="AS56" s="1"/>
  <c r="AF57"/>
  <c r="AS57" s="1"/>
  <c r="AF58"/>
  <c r="AS58" s="1"/>
  <c r="AF59"/>
  <c r="AS59" s="1"/>
  <c r="AF60"/>
  <c r="AS60" s="1"/>
  <c r="AF61"/>
  <c r="AS61" s="1"/>
  <c r="AF62"/>
  <c r="AS62" s="1"/>
  <c r="AF63"/>
  <c r="AS63" s="1"/>
  <c r="AF64"/>
  <c r="AS64" s="1"/>
  <c r="AF65"/>
  <c r="AS65" s="1"/>
  <c r="AF66"/>
  <c r="AS66" s="1"/>
  <c r="AF67"/>
  <c r="AS67" s="1"/>
  <c r="AF68"/>
  <c r="AS68" s="1"/>
  <c r="AF69"/>
  <c r="AS69" s="1"/>
  <c r="AF70"/>
  <c r="AS70" s="1"/>
  <c r="AF72"/>
  <c r="AE5"/>
  <c r="AR5" s="1"/>
  <c r="AE6"/>
  <c r="AR6" s="1"/>
  <c r="AE7"/>
  <c r="AR7" s="1"/>
  <c r="AE8"/>
  <c r="AR8" s="1"/>
  <c r="AE9"/>
  <c r="AR9" s="1"/>
  <c r="AE10"/>
  <c r="AR10" s="1"/>
  <c r="AE11"/>
  <c r="AR11" s="1"/>
  <c r="AE12"/>
  <c r="AR12" s="1"/>
  <c r="AE13"/>
  <c r="AR13" s="1"/>
  <c r="AE14"/>
  <c r="AR14" s="1"/>
  <c r="AE15"/>
  <c r="AR15" s="1"/>
  <c r="AE16"/>
  <c r="AR16" s="1"/>
  <c r="AE17"/>
  <c r="AR17" s="1"/>
  <c r="AE18"/>
  <c r="AR18" s="1"/>
  <c r="AE19"/>
  <c r="AR19" s="1"/>
  <c r="AE20"/>
  <c r="AR20" s="1"/>
  <c r="AE21"/>
  <c r="AR21" s="1"/>
  <c r="AE22"/>
  <c r="AR22" s="1"/>
  <c r="AE23"/>
  <c r="AR23" s="1"/>
  <c r="AE24"/>
  <c r="AR24" s="1"/>
  <c r="AE25"/>
  <c r="AR25" s="1"/>
  <c r="AE26"/>
  <c r="AR26" s="1"/>
  <c r="AE27"/>
  <c r="AR27" s="1"/>
  <c r="AE28"/>
  <c r="AR28" s="1"/>
  <c r="AE29"/>
  <c r="AR29" s="1"/>
  <c r="AE30"/>
  <c r="AR30" s="1"/>
  <c r="AE31"/>
  <c r="AR31" s="1"/>
  <c r="AE32"/>
  <c r="AR32" s="1"/>
  <c r="AE33"/>
  <c r="AR33" s="1"/>
  <c r="AE34"/>
  <c r="AR34" s="1"/>
  <c r="AE35"/>
  <c r="AR35" s="1"/>
  <c r="AE36"/>
  <c r="AR36" s="1"/>
  <c r="AE37"/>
  <c r="AR37" s="1"/>
  <c r="AE38"/>
  <c r="AR38" s="1"/>
  <c r="AE39"/>
  <c r="AR39" s="1"/>
  <c r="AE40"/>
  <c r="AR40" s="1"/>
  <c r="AE41"/>
  <c r="AR41" s="1"/>
  <c r="AE42"/>
  <c r="AR42" s="1"/>
  <c r="AE43"/>
  <c r="AR43" s="1"/>
  <c r="AE44"/>
  <c r="AR44" s="1"/>
  <c r="AE45"/>
  <c r="AR45" s="1"/>
  <c r="AE46"/>
  <c r="AR46" s="1"/>
  <c r="AE47"/>
  <c r="AR47" s="1"/>
  <c r="AE48"/>
  <c r="AR48" s="1"/>
  <c r="AE49"/>
  <c r="AR49" s="1"/>
  <c r="AE50"/>
  <c r="AR50" s="1"/>
  <c r="AE51"/>
  <c r="AR51" s="1"/>
  <c r="AE52"/>
  <c r="AR52" s="1"/>
  <c r="AE53"/>
  <c r="AR53" s="1"/>
  <c r="AE54"/>
  <c r="AR54" s="1"/>
  <c r="AE55"/>
  <c r="AR55" s="1"/>
  <c r="AE56"/>
  <c r="AR56" s="1"/>
  <c r="AE57"/>
  <c r="AR57" s="1"/>
  <c r="AE58"/>
  <c r="AR58" s="1"/>
  <c r="AE59"/>
  <c r="AR59" s="1"/>
  <c r="AE60"/>
  <c r="AR60" s="1"/>
  <c r="AE61"/>
  <c r="AR61" s="1"/>
  <c r="AE62"/>
  <c r="AR62" s="1"/>
  <c r="AE63"/>
  <c r="AR63" s="1"/>
  <c r="AE64"/>
  <c r="AR64" s="1"/>
  <c r="AE65"/>
  <c r="AR65" s="1"/>
  <c r="AE66"/>
  <c r="AR66" s="1"/>
  <c r="AE67"/>
  <c r="AR67" s="1"/>
  <c r="AR68"/>
  <c r="AE69"/>
  <c r="AR69" s="1"/>
  <c r="AE70"/>
  <c r="AR70" s="1"/>
  <c r="AE72"/>
  <c r="AD5"/>
  <c r="AQ5" s="1"/>
  <c r="AD6"/>
  <c r="AQ6" s="1"/>
  <c r="AD7"/>
  <c r="AQ7" s="1"/>
  <c r="AD8"/>
  <c r="AQ8" s="1"/>
  <c r="AD9"/>
  <c r="AQ9" s="1"/>
  <c r="AD10"/>
  <c r="AQ10" s="1"/>
  <c r="AD11"/>
  <c r="AQ11" s="1"/>
  <c r="AD12"/>
  <c r="AQ12" s="1"/>
  <c r="AD13"/>
  <c r="AQ13" s="1"/>
  <c r="AD14"/>
  <c r="AQ14" s="1"/>
  <c r="AD15"/>
  <c r="AQ15" s="1"/>
  <c r="AD16"/>
  <c r="AQ16" s="1"/>
  <c r="AD17"/>
  <c r="AQ17" s="1"/>
  <c r="AD18"/>
  <c r="AQ18" s="1"/>
  <c r="AD19"/>
  <c r="AQ19" s="1"/>
  <c r="AD20"/>
  <c r="AQ20" s="1"/>
  <c r="AD21"/>
  <c r="AQ21" s="1"/>
  <c r="AD22"/>
  <c r="AQ22" s="1"/>
  <c r="AD23"/>
  <c r="AQ23" s="1"/>
  <c r="AD24"/>
  <c r="AQ24" s="1"/>
  <c r="AD25"/>
  <c r="AQ25" s="1"/>
  <c r="AD26"/>
  <c r="AQ26" s="1"/>
  <c r="AD27"/>
  <c r="AQ27" s="1"/>
  <c r="AD28"/>
  <c r="AQ28" s="1"/>
  <c r="AD29"/>
  <c r="AQ29" s="1"/>
  <c r="AD30"/>
  <c r="AQ30" s="1"/>
  <c r="AD31"/>
  <c r="AQ31" s="1"/>
  <c r="AD32"/>
  <c r="AQ32" s="1"/>
  <c r="AD33"/>
  <c r="AQ33" s="1"/>
  <c r="AD34"/>
  <c r="AQ34" s="1"/>
  <c r="AD35"/>
  <c r="AQ35" s="1"/>
  <c r="AD36"/>
  <c r="AQ36" s="1"/>
  <c r="AD37"/>
  <c r="AQ37" s="1"/>
  <c r="AD38"/>
  <c r="AQ38" s="1"/>
  <c r="AD39"/>
  <c r="AQ39" s="1"/>
  <c r="AD40"/>
  <c r="AQ40" s="1"/>
  <c r="AD41"/>
  <c r="AQ41" s="1"/>
  <c r="AD42"/>
  <c r="AQ42" s="1"/>
  <c r="AD43"/>
  <c r="AQ43" s="1"/>
  <c r="AD44"/>
  <c r="AQ44" s="1"/>
  <c r="AD45"/>
  <c r="AQ45" s="1"/>
  <c r="AD46"/>
  <c r="AQ46" s="1"/>
  <c r="AD47"/>
  <c r="AQ47" s="1"/>
  <c r="AD48"/>
  <c r="AQ48" s="1"/>
  <c r="AD49"/>
  <c r="AQ49" s="1"/>
  <c r="AD50"/>
  <c r="AQ50" s="1"/>
  <c r="AD51"/>
  <c r="AQ51" s="1"/>
  <c r="AD52"/>
  <c r="AQ52" s="1"/>
  <c r="AD53"/>
  <c r="AQ53" s="1"/>
  <c r="AD54"/>
  <c r="AQ54" s="1"/>
  <c r="AD55"/>
  <c r="AQ55" s="1"/>
  <c r="AD56"/>
  <c r="AQ56" s="1"/>
  <c r="AD57"/>
  <c r="AQ57" s="1"/>
  <c r="AD58"/>
  <c r="AQ58" s="1"/>
  <c r="AD59"/>
  <c r="AQ59" s="1"/>
  <c r="AD60"/>
  <c r="AQ60" s="1"/>
  <c r="AD61"/>
  <c r="AQ61" s="1"/>
  <c r="AD62"/>
  <c r="AQ62" s="1"/>
  <c r="AD63"/>
  <c r="AQ63" s="1"/>
  <c r="AD64"/>
  <c r="AQ64" s="1"/>
  <c r="AD65"/>
  <c r="AQ65" s="1"/>
  <c r="AD66"/>
  <c r="AQ66" s="1"/>
  <c r="AD67"/>
  <c r="AQ67" s="1"/>
  <c r="AD69"/>
  <c r="AQ69" s="1"/>
  <c r="AD70"/>
  <c r="AQ70" s="1"/>
  <c r="AD72"/>
  <c r="AD4"/>
  <c r="AQ4" s="1"/>
  <c r="AE4"/>
  <c r="AR4" s="1"/>
  <c r="AF4"/>
  <c r="AS4" s="1"/>
  <c r="AC5"/>
  <c r="AP5" s="1"/>
  <c r="AC6"/>
  <c r="AP6" s="1"/>
  <c r="AC8"/>
  <c r="AP8" s="1"/>
  <c r="AC9"/>
  <c r="AC10"/>
  <c r="AP10" s="1"/>
  <c r="AC11"/>
  <c r="AC12"/>
  <c r="AP12" s="1"/>
  <c r="AC13"/>
  <c r="AC14"/>
  <c r="AP14" s="1"/>
  <c r="AC15"/>
  <c r="AC16"/>
  <c r="AP16" s="1"/>
  <c r="AC17"/>
  <c r="AC18"/>
  <c r="AP18" s="1"/>
  <c r="AC19"/>
  <c r="AC20"/>
  <c r="AP20" s="1"/>
  <c r="AC21"/>
  <c r="AC22"/>
  <c r="AP22" s="1"/>
  <c r="AC23"/>
  <c r="AC24"/>
  <c r="AP24" s="1"/>
  <c r="AC25"/>
  <c r="AC26"/>
  <c r="AP26" s="1"/>
  <c r="AC27"/>
  <c r="AC28"/>
  <c r="AP28" s="1"/>
  <c r="AC29"/>
  <c r="AC30"/>
  <c r="AP30" s="1"/>
  <c r="AC31"/>
  <c r="AC32"/>
  <c r="AP32" s="1"/>
  <c r="AC33"/>
  <c r="AC34"/>
  <c r="AP34" s="1"/>
  <c r="AC35"/>
  <c r="AC36"/>
  <c r="AP36" s="1"/>
  <c r="AC37"/>
  <c r="AC38"/>
  <c r="AP38" s="1"/>
  <c r="AC39"/>
  <c r="AC40"/>
  <c r="AP40" s="1"/>
  <c r="AC41"/>
  <c r="AC42"/>
  <c r="AP42" s="1"/>
  <c r="AC43"/>
  <c r="AC44"/>
  <c r="AP44" s="1"/>
  <c r="AC45"/>
  <c r="AC46"/>
  <c r="AP46" s="1"/>
  <c r="AC47"/>
  <c r="AC48"/>
  <c r="AP48" s="1"/>
  <c r="AC49"/>
  <c r="AC50"/>
  <c r="AP50" s="1"/>
  <c r="AC51"/>
  <c r="AC52"/>
  <c r="AP52" s="1"/>
  <c r="AC53"/>
  <c r="AC54"/>
  <c r="AP54" s="1"/>
  <c r="AC55"/>
  <c r="AC56"/>
  <c r="AP56" s="1"/>
  <c r="AC57"/>
  <c r="AC58"/>
  <c r="AP58" s="1"/>
  <c r="AC59"/>
  <c r="AC60"/>
  <c r="AP60" s="1"/>
  <c r="AC61"/>
  <c r="AC62"/>
  <c r="AP62" s="1"/>
  <c r="AC63"/>
  <c r="AC64"/>
  <c r="AP64" s="1"/>
  <c r="AC65"/>
  <c r="AC66"/>
  <c r="AP66" s="1"/>
  <c r="AC67"/>
  <c r="AC68"/>
  <c r="AP68" s="1"/>
  <c r="AC69"/>
  <c r="AC70"/>
  <c r="AP70" s="1"/>
  <c r="AC72"/>
  <c r="Y75"/>
  <c r="Y76"/>
  <c r="Y77"/>
  <c r="Y78"/>
  <c r="Y79"/>
  <c r="Y80"/>
  <c r="Y81"/>
  <c r="Y82"/>
  <c r="Y83"/>
  <c r="Y84"/>
  <c r="Y85"/>
  <c r="Y74"/>
  <c r="X75"/>
  <c r="X76"/>
  <c r="X77"/>
  <c r="X78"/>
  <c r="X79"/>
  <c r="X80"/>
  <c r="X81"/>
  <c r="X82"/>
  <c r="X83"/>
  <c r="X84"/>
  <c r="X85"/>
  <c r="X74"/>
  <c r="W75"/>
  <c r="W76"/>
  <c r="W77"/>
  <c r="W78"/>
  <c r="W79"/>
  <c r="W80"/>
  <c r="W81"/>
  <c r="W82"/>
  <c r="W83"/>
  <c r="W84"/>
  <c r="W85"/>
  <c r="W74"/>
  <c r="V75"/>
  <c r="V76"/>
  <c r="V77"/>
  <c r="V78"/>
  <c r="V79"/>
  <c r="V80"/>
  <c r="V81"/>
  <c r="V82"/>
  <c r="V83"/>
  <c r="V84"/>
  <c r="V85"/>
  <c r="V74"/>
  <c r="U75"/>
  <c r="U76"/>
  <c r="U77"/>
  <c r="U78"/>
  <c r="U79"/>
  <c r="U80"/>
  <c r="U81"/>
  <c r="U82"/>
  <c r="U83"/>
  <c r="U84"/>
  <c r="U85"/>
  <c r="U74"/>
  <c r="T75"/>
  <c r="T76"/>
  <c r="T77"/>
  <c r="T78"/>
  <c r="T79"/>
  <c r="T80"/>
  <c r="T81"/>
  <c r="T82"/>
  <c r="T83"/>
  <c r="T84"/>
  <c r="T85"/>
  <c r="T74"/>
  <c r="S75"/>
  <c r="S76"/>
  <c r="S77"/>
  <c r="S78"/>
  <c r="S79"/>
  <c r="S80"/>
  <c r="S81"/>
  <c r="S82"/>
  <c r="S83"/>
  <c r="S84"/>
  <c r="S85"/>
  <c r="S74"/>
  <c r="R75"/>
  <c r="R76"/>
  <c r="R77"/>
  <c r="R78"/>
  <c r="R79"/>
  <c r="R80"/>
  <c r="R81"/>
  <c r="R82"/>
  <c r="R83"/>
  <c r="R84"/>
  <c r="R85"/>
  <c r="R74"/>
  <c r="Q75"/>
  <c r="Q76"/>
  <c r="Q77"/>
  <c r="Q78"/>
  <c r="Q79"/>
  <c r="Q80"/>
  <c r="Q81"/>
  <c r="Q82"/>
  <c r="Q83"/>
  <c r="Q84"/>
  <c r="Q85"/>
  <c r="Q74"/>
  <c r="P75"/>
  <c r="P76"/>
  <c r="P77"/>
  <c r="P78"/>
  <c r="P79"/>
  <c r="P80"/>
  <c r="P81"/>
  <c r="P82"/>
  <c r="P83"/>
  <c r="P84"/>
  <c r="P85"/>
  <c r="P74"/>
  <c r="O75"/>
  <c r="Z75" s="1"/>
  <c r="O76"/>
  <c r="Z76" s="1"/>
  <c r="O77"/>
  <c r="Z77" s="1"/>
  <c r="O78"/>
  <c r="Z78" s="1"/>
  <c r="O79"/>
  <c r="Z79" s="1"/>
  <c r="O80"/>
  <c r="Z80" s="1"/>
  <c r="O81"/>
  <c r="Z81" s="1"/>
  <c r="O82"/>
  <c r="Z82" s="1"/>
  <c r="O83"/>
  <c r="Z83" s="1"/>
  <c r="O84"/>
  <c r="Z84" s="1"/>
  <c r="O85"/>
  <c r="Z85" s="1"/>
  <c r="O74"/>
  <c r="Z74" s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9"/>
  <c r="Q70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4"/>
  <c r="C112"/>
  <c r="D112"/>
  <c r="E112"/>
  <c r="F112"/>
  <c r="G112"/>
  <c r="H112"/>
  <c r="I112"/>
  <c r="J112"/>
  <c r="K112"/>
  <c r="L112"/>
  <c r="B112"/>
  <c r="C111"/>
  <c r="D111"/>
  <c r="E111"/>
  <c r="F111"/>
  <c r="G111"/>
  <c r="H111"/>
  <c r="I111"/>
  <c r="J111"/>
  <c r="K111"/>
  <c r="L111"/>
  <c r="B111"/>
  <c r="D109"/>
  <c r="E109"/>
  <c r="F109"/>
  <c r="G109"/>
  <c r="H109"/>
  <c r="I109"/>
  <c r="J109"/>
  <c r="K109"/>
  <c r="L109"/>
  <c r="C109"/>
  <c r="C106"/>
  <c r="D106"/>
  <c r="E106"/>
  <c r="F106"/>
  <c r="G106"/>
  <c r="H106"/>
  <c r="I106"/>
  <c r="J106"/>
  <c r="K106"/>
  <c r="L106"/>
  <c r="B106"/>
  <c r="C104"/>
  <c r="D104"/>
  <c r="E104"/>
  <c r="F104"/>
  <c r="G104"/>
  <c r="H104"/>
  <c r="I104"/>
  <c r="J104"/>
  <c r="K104"/>
  <c r="L104"/>
  <c r="B104"/>
  <c r="C103"/>
  <c r="D103"/>
  <c r="E103"/>
  <c r="F103"/>
  <c r="G103"/>
  <c r="H103"/>
  <c r="I103"/>
  <c r="J103"/>
  <c r="K103"/>
  <c r="L103"/>
  <c r="B103"/>
  <c r="M103" s="1"/>
  <c r="C99"/>
  <c r="AZ138" i="3" l="1"/>
  <c r="AZ136"/>
  <c r="AZ134"/>
  <c r="AZ132"/>
  <c r="AZ130"/>
  <c r="AZ128"/>
  <c r="AZ126"/>
  <c r="AZ124"/>
  <c r="AZ122"/>
  <c r="AZ120"/>
  <c r="AZ118"/>
  <c r="AZ116"/>
  <c r="AZ114"/>
  <c r="AZ112"/>
  <c r="AZ110"/>
  <c r="AZ108"/>
  <c r="AZ106"/>
  <c r="AZ104"/>
  <c r="AZ102"/>
  <c r="AZ100"/>
  <c r="AZ98"/>
  <c r="AZ96"/>
  <c r="AZ94"/>
  <c r="AZ92"/>
  <c r="AZ90"/>
  <c r="AZ88"/>
  <c r="AZ86"/>
  <c r="AZ84"/>
  <c r="AZ82"/>
  <c r="AZ80"/>
  <c r="AZ78"/>
  <c r="AZ76"/>
  <c r="AZ74"/>
  <c r="AZ72"/>
  <c r="AZ70"/>
  <c r="AZ68"/>
  <c r="AZ66"/>
  <c r="AZ64"/>
  <c r="AZ62"/>
  <c r="AZ60"/>
  <c r="AZ58"/>
  <c r="AZ56"/>
  <c r="AZ54"/>
  <c r="AZ52"/>
  <c r="AZ50"/>
  <c r="AZ48"/>
  <c r="AZ46"/>
  <c r="AZ44"/>
  <c r="AZ42"/>
  <c r="AZ40"/>
  <c r="AZ38"/>
  <c r="AZ36"/>
  <c r="AZ34"/>
  <c r="AZ32"/>
  <c r="AZ30"/>
  <c r="AZ28"/>
  <c r="AZ26"/>
  <c r="AZ24"/>
  <c r="AZ22"/>
  <c r="AZ20"/>
  <c r="AZ18"/>
  <c r="AZ16"/>
  <c r="AZ14"/>
  <c r="AZ12"/>
  <c r="AZ10"/>
  <c r="AZ8"/>
  <c r="AZ6"/>
  <c r="AM4"/>
  <c r="AM137"/>
  <c r="AM135"/>
  <c r="AM133"/>
  <c r="AM131"/>
  <c r="AM129"/>
  <c r="AM127"/>
  <c r="AM125"/>
  <c r="AM123"/>
  <c r="AM121"/>
  <c r="AM119"/>
  <c r="AM117"/>
  <c r="AM115"/>
  <c r="AM113"/>
  <c r="AM111"/>
  <c r="AM109"/>
  <c r="AM107"/>
  <c r="AM105"/>
  <c r="AM103"/>
  <c r="AM101"/>
  <c r="AM99"/>
  <c r="AM97"/>
  <c r="AM95"/>
  <c r="AM93"/>
  <c r="AM91"/>
  <c r="AM89"/>
  <c r="AM87"/>
  <c r="AM85"/>
  <c r="AM82"/>
  <c r="AM80"/>
  <c r="AM78"/>
  <c r="AM76"/>
  <c r="AM74"/>
  <c r="AM72"/>
  <c r="AM70"/>
  <c r="AM68"/>
  <c r="AM66"/>
  <c r="AM64"/>
  <c r="AM62"/>
  <c r="AM59"/>
  <c r="AM57"/>
  <c r="AM55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153"/>
  <c r="AM151"/>
  <c r="AM149"/>
  <c r="AM147"/>
  <c r="AM145"/>
  <c r="AM143"/>
  <c r="AZ4"/>
  <c r="AZ137"/>
  <c r="AZ135"/>
  <c r="AZ133"/>
  <c r="AZ131"/>
  <c r="AZ129"/>
  <c r="AZ127"/>
  <c r="AZ125"/>
  <c r="AZ123"/>
  <c r="AZ121"/>
  <c r="AZ119"/>
  <c r="AZ117"/>
  <c r="AZ115"/>
  <c r="AZ113"/>
  <c r="AZ111"/>
  <c r="AZ109"/>
  <c r="AZ107"/>
  <c r="AZ105"/>
  <c r="AZ103"/>
  <c r="AZ101"/>
  <c r="AZ99"/>
  <c r="AZ97"/>
  <c r="AZ95"/>
  <c r="AZ93"/>
  <c r="AZ91"/>
  <c r="AZ89"/>
  <c r="AZ87"/>
  <c r="AZ85"/>
  <c r="AZ83"/>
  <c r="AZ81"/>
  <c r="AZ79"/>
  <c r="AZ77"/>
  <c r="AZ75"/>
  <c r="AZ73"/>
  <c r="AZ71"/>
  <c r="AZ69"/>
  <c r="AZ67"/>
  <c r="AZ65"/>
  <c r="AZ63"/>
  <c r="AZ61"/>
  <c r="AZ59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AZ5"/>
  <c r="AM138"/>
  <c r="AM136"/>
  <c r="AM134"/>
  <c r="AM132"/>
  <c r="AM130"/>
  <c r="AM128"/>
  <c r="AM126"/>
  <c r="AM124"/>
  <c r="AM122"/>
  <c r="AM120"/>
  <c r="AM118"/>
  <c r="AM116"/>
  <c r="AM114"/>
  <c r="AM112"/>
  <c r="AM110"/>
  <c r="AM108"/>
  <c r="AM106"/>
  <c r="AM104"/>
  <c r="AM102"/>
  <c r="AM100"/>
  <c r="AM98"/>
  <c r="AM96"/>
  <c r="AM94"/>
  <c r="AM92"/>
  <c r="AM90"/>
  <c r="AM88"/>
  <c r="AM86"/>
  <c r="AM84"/>
  <c r="AM81"/>
  <c r="AM79"/>
  <c r="AM77"/>
  <c r="AM75"/>
  <c r="AM73"/>
  <c r="AM71"/>
  <c r="AM69"/>
  <c r="AM67"/>
  <c r="AM65"/>
  <c r="AM63"/>
  <c r="AM61"/>
  <c r="AM58"/>
  <c r="AM56"/>
  <c r="AM54"/>
  <c r="AM51"/>
  <c r="AM49"/>
  <c r="AM47"/>
  <c r="AM45"/>
  <c r="AM43"/>
  <c r="AM41"/>
  <c r="AM39"/>
  <c r="AM37"/>
  <c r="AM35"/>
  <c r="AM33"/>
  <c r="AM31"/>
  <c r="AM29"/>
  <c r="AM27"/>
  <c r="AM25"/>
  <c r="AM23"/>
  <c r="AM21"/>
  <c r="AM19"/>
  <c r="AM17"/>
  <c r="AM15"/>
  <c r="AM13"/>
  <c r="AM11"/>
  <c r="AM9"/>
  <c r="AM7"/>
  <c r="AM5"/>
  <c r="AZ142"/>
  <c r="AZ152"/>
  <c r="AM142"/>
  <c r="AM152"/>
  <c r="AM150"/>
  <c r="AM148"/>
  <c r="AM146"/>
  <c r="AM144"/>
  <c r="E39" i="16"/>
  <c r="D114"/>
  <c r="E87"/>
  <c r="E88" s="1"/>
  <c r="E251" s="1"/>
  <c r="F77"/>
  <c r="E86"/>
  <c r="F38"/>
  <c r="E111"/>
  <c r="E118" s="1"/>
  <c r="D251"/>
  <c r="D241"/>
  <c r="E119"/>
  <c r="M104" i="1"/>
  <c r="M106"/>
  <c r="AM69"/>
  <c r="AM67"/>
  <c r="AM65"/>
  <c r="AM63"/>
  <c r="AM61"/>
  <c r="AM59"/>
  <c r="AM57"/>
  <c r="AM55"/>
  <c r="AM53"/>
  <c r="AM51"/>
  <c r="AM49"/>
  <c r="AM47"/>
  <c r="AM45"/>
  <c r="AM43"/>
  <c r="AM41"/>
  <c r="AM39"/>
  <c r="AM37"/>
  <c r="AM35"/>
  <c r="AM33"/>
  <c r="AM31"/>
  <c r="AM29"/>
  <c r="AM27"/>
  <c r="AM25"/>
  <c r="AM23"/>
  <c r="AM21"/>
  <c r="AM19"/>
  <c r="AM17"/>
  <c r="AM15"/>
  <c r="AM13"/>
  <c r="AM11"/>
  <c r="AM9"/>
  <c r="AM6"/>
  <c r="AM70"/>
  <c r="AM68"/>
  <c r="AM66"/>
  <c r="AM64"/>
  <c r="AM62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74"/>
  <c r="AM83"/>
  <c r="AP83"/>
  <c r="AZ83" s="1"/>
  <c r="AM81"/>
  <c r="AP81"/>
  <c r="AZ81" s="1"/>
  <c r="AM79"/>
  <c r="AP79"/>
  <c r="AZ79" s="1"/>
  <c r="AM77"/>
  <c r="AP77"/>
  <c r="AZ77" s="1"/>
  <c r="AM75"/>
  <c r="AP75"/>
  <c r="AZ75" s="1"/>
  <c r="AM84"/>
  <c r="AM82"/>
  <c r="AM80"/>
  <c r="AM78"/>
  <c r="AM76"/>
  <c r="AM85"/>
  <c r="AZ85"/>
  <c r="Z70"/>
  <c r="Z68"/>
  <c r="Z66"/>
  <c r="Z64"/>
  <c r="Z62"/>
  <c r="Z60"/>
  <c r="Z58"/>
  <c r="Z56"/>
  <c r="Z54"/>
  <c r="Z52"/>
  <c r="Z50"/>
  <c r="Z48"/>
  <c r="Z46"/>
  <c r="Z44"/>
  <c r="Z42"/>
  <c r="Z40"/>
  <c r="Z38"/>
  <c r="Z36"/>
  <c r="Z34"/>
  <c r="Z32"/>
  <c r="Z30"/>
  <c r="Z28"/>
  <c r="Z26"/>
  <c r="Z24"/>
  <c r="Z22"/>
  <c r="Z20"/>
  <c r="Z18"/>
  <c r="Z16"/>
  <c r="Z14"/>
  <c r="Z12"/>
  <c r="Z10"/>
  <c r="Z8"/>
  <c r="Z6"/>
  <c r="Z4"/>
  <c r="Z69"/>
  <c r="Z67"/>
  <c r="Z65"/>
  <c r="Z63"/>
  <c r="Z61"/>
  <c r="Z59"/>
  <c r="Z57"/>
  <c r="Z55"/>
  <c r="Z53"/>
  <c r="Z51"/>
  <c r="Z49"/>
  <c r="Z47"/>
  <c r="Z45"/>
  <c r="Z43"/>
  <c r="Z41"/>
  <c r="Z39"/>
  <c r="Z37"/>
  <c r="Z35"/>
  <c r="Z33"/>
  <c r="Z31"/>
  <c r="Z29"/>
  <c r="Z27"/>
  <c r="Z25"/>
  <c r="Z23"/>
  <c r="Z21"/>
  <c r="Z19"/>
  <c r="Z17"/>
  <c r="Z15"/>
  <c r="Z13"/>
  <c r="Z11"/>
  <c r="Z9"/>
  <c r="Z7"/>
  <c r="Z5"/>
  <c r="AM4"/>
  <c r="AM5"/>
  <c r="AM7"/>
  <c r="AP69"/>
  <c r="AZ69" s="1"/>
  <c r="AP67"/>
  <c r="AZ67" s="1"/>
  <c r="AP65"/>
  <c r="AZ65" s="1"/>
  <c r="AP63"/>
  <c r="AZ63" s="1"/>
  <c r="AP61"/>
  <c r="AZ61" s="1"/>
  <c r="AP59"/>
  <c r="AZ59" s="1"/>
  <c r="AP57"/>
  <c r="AZ57" s="1"/>
  <c r="AP55"/>
  <c r="AZ55" s="1"/>
  <c r="AP53"/>
  <c r="AZ53" s="1"/>
  <c r="AP51"/>
  <c r="AZ51" s="1"/>
  <c r="AP49"/>
  <c r="AZ49" s="1"/>
  <c r="AP47"/>
  <c r="AZ47" s="1"/>
  <c r="AP45"/>
  <c r="AZ45" s="1"/>
  <c r="AP43"/>
  <c r="AZ43" s="1"/>
  <c r="AP41"/>
  <c r="AZ41" s="1"/>
  <c r="AP39"/>
  <c r="AZ39" s="1"/>
  <c r="AP37"/>
  <c r="AZ37" s="1"/>
  <c r="AP35"/>
  <c r="AZ35" s="1"/>
  <c r="AP33"/>
  <c r="AZ33" s="1"/>
  <c r="AP31"/>
  <c r="AZ31" s="1"/>
  <c r="AP29"/>
  <c r="AZ29" s="1"/>
  <c r="AP27"/>
  <c r="AZ27" s="1"/>
  <c r="AP25"/>
  <c r="AZ25" s="1"/>
  <c r="AP23"/>
  <c r="AZ23" s="1"/>
  <c r="AP21"/>
  <c r="AZ21" s="1"/>
  <c r="AP19"/>
  <c r="AZ19" s="1"/>
  <c r="AP17"/>
  <c r="AZ17" s="1"/>
  <c r="AP15"/>
  <c r="AZ15" s="1"/>
  <c r="AP13"/>
  <c r="AZ13" s="1"/>
  <c r="AP11"/>
  <c r="AZ11" s="1"/>
  <c r="AP9"/>
  <c r="AZ9" s="1"/>
  <c r="AP7"/>
  <c r="AZ7" s="1"/>
  <c r="AT70"/>
  <c r="AT68"/>
  <c r="AZ68" s="1"/>
  <c r="AT66"/>
  <c r="AZ66" s="1"/>
  <c r="AT64"/>
  <c r="AZ64" s="1"/>
  <c r="AT62"/>
  <c r="AZ62" s="1"/>
  <c r="AT60"/>
  <c r="AZ60" s="1"/>
  <c r="AT58"/>
  <c r="AZ58" s="1"/>
  <c r="AT54"/>
  <c r="AZ54" s="1"/>
  <c r="AT50"/>
  <c r="AZ50" s="1"/>
  <c r="AT46"/>
  <c r="AZ46" s="1"/>
  <c r="AT42"/>
  <c r="AZ42" s="1"/>
  <c r="AT38"/>
  <c r="AZ38" s="1"/>
  <c r="AT34"/>
  <c r="AZ34" s="1"/>
  <c r="AT30"/>
  <c r="AZ30" s="1"/>
  <c r="AT26"/>
  <c r="AZ26" s="1"/>
  <c r="AT22"/>
  <c r="AZ22" s="1"/>
  <c r="AT18"/>
  <c r="AZ18" s="1"/>
  <c r="AT14"/>
  <c r="AZ14" s="1"/>
  <c r="AT10"/>
  <c r="AZ10" s="1"/>
  <c r="AZ84"/>
  <c r="AZ82"/>
  <c r="AZ80"/>
  <c r="AZ78"/>
  <c r="AZ76"/>
  <c r="AZ4"/>
  <c r="AZ6"/>
  <c r="AZ5"/>
  <c r="AT56"/>
  <c r="AZ56" s="1"/>
  <c r="AT52"/>
  <c r="AZ52" s="1"/>
  <c r="AT48"/>
  <c r="AZ48" s="1"/>
  <c r="AT44"/>
  <c r="AZ44" s="1"/>
  <c r="AT40"/>
  <c r="AZ40" s="1"/>
  <c r="AT36"/>
  <c r="AZ36" s="1"/>
  <c r="AT32"/>
  <c r="AZ32" s="1"/>
  <c r="AT28"/>
  <c r="AZ28" s="1"/>
  <c r="AT24"/>
  <c r="AZ24" s="1"/>
  <c r="AT20"/>
  <c r="AZ20" s="1"/>
  <c r="AT16"/>
  <c r="AZ16" s="1"/>
  <c r="AT12"/>
  <c r="AZ12" s="1"/>
  <c r="AT8"/>
  <c r="AZ8" s="1"/>
  <c r="AZ70"/>
  <c r="AZ74"/>
  <c r="AC251" i="16" l="1"/>
  <c r="AO251" s="1"/>
  <c r="AB251"/>
  <c r="AB241"/>
  <c r="E120"/>
  <c r="E128" s="1"/>
  <c r="E131" s="1"/>
  <c r="E241"/>
  <c r="F119"/>
  <c r="F39"/>
  <c r="E114"/>
  <c r="F112"/>
  <c r="F111"/>
  <c r="F118" s="1"/>
  <c r="G38"/>
  <c r="D121"/>
  <c r="D123" s="1"/>
  <c r="D133" s="1"/>
  <c r="D115"/>
  <c r="D99" i="1"/>
  <c r="E99"/>
  <c r="F99"/>
  <c r="G99"/>
  <c r="H99"/>
  <c r="I99"/>
  <c r="J99"/>
  <c r="K99"/>
  <c r="L99"/>
  <c r="C98"/>
  <c r="D98"/>
  <c r="E98"/>
  <c r="F98"/>
  <c r="G98"/>
  <c r="H98"/>
  <c r="I98"/>
  <c r="J98"/>
  <c r="K98"/>
  <c r="L98"/>
  <c r="D96"/>
  <c r="E96"/>
  <c r="F96"/>
  <c r="G96"/>
  <c r="H96"/>
  <c r="I96"/>
  <c r="J96"/>
  <c r="K96"/>
  <c r="L96"/>
  <c r="C96"/>
  <c r="D95"/>
  <c r="E95"/>
  <c r="F95"/>
  <c r="G95"/>
  <c r="H95"/>
  <c r="I95"/>
  <c r="J95"/>
  <c r="K95"/>
  <c r="L95"/>
  <c r="L100" s="1"/>
  <c r="C95"/>
  <c r="C92"/>
  <c r="D92"/>
  <c r="E92"/>
  <c r="F92"/>
  <c r="G92"/>
  <c r="H92"/>
  <c r="I92"/>
  <c r="J92"/>
  <c r="K92"/>
  <c r="L92"/>
  <c r="B92"/>
  <c r="B91"/>
  <c r="C91"/>
  <c r="D91"/>
  <c r="E91"/>
  <c r="F91"/>
  <c r="G91"/>
  <c r="H91"/>
  <c r="I91"/>
  <c r="J91"/>
  <c r="K91"/>
  <c r="L91"/>
  <c r="B90"/>
  <c r="C90"/>
  <c r="D90"/>
  <c r="E90"/>
  <c r="F90"/>
  <c r="G90"/>
  <c r="H90"/>
  <c r="I90"/>
  <c r="J90"/>
  <c r="K90"/>
  <c r="L90"/>
  <c r="M111"/>
  <c r="M110"/>
  <c r="M109"/>
  <c r="M99"/>
  <c r="K100"/>
  <c r="J100"/>
  <c r="I100"/>
  <c r="H100"/>
  <c r="G100"/>
  <c r="F100"/>
  <c r="E100"/>
  <c r="D100"/>
  <c r="C100"/>
  <c r="M95"/>
  <c r="B180" i="3"/>
  <c r="C180"/>
  <c r="D180"/>
  <c r="E180"/>
  <c r="F180"/>
  <c r="G180"/>
  <c r="H180"/>
  <c r="I180"/>
  <c r="J180"/>
  <c r="K180"/>
  <c r="L180"/>
  <c r="C179"/>
  <c r="D179"/>
  <c r="E179"/>
  <c r="F179"/>
  <c r="G179"/>
  <c r="H179"/>
  <c r="I179"/>
  <c r="J179"/>
  <c r="K179"/>
  <c r="L179"/>
  <c r="B179"/>
  <c r="D178"/>
  <c r="E178"/>
  <c r="F178"/>
  <c r="G178"/>
  <c r="H178"/>
  <c r="I178"/>
  <c r="J178"/>
  <c r="K178"/>
  <c r="L178"/>
  <c r="C178"/>
  <c r="M178" s="1"/>
  <c r="D177"/>
  <c r="E177"/>
  <c r="F177"/>
  <c r="G177"/>
  <c r="H177"/>
  <c r="I177"/>
  <c r="J177"/>
  <c r="K177"/>
  <c r="L177"/>
  <c r="C177"/>
  <c r="L174"/>
  <c r="C174"/>
  <c r="D174"/>
  <c r="E174"/>
  <c r="F174"/>
  <c r="G174"/>
  <c r="H174"/>
  <c r="I174"/>
  <c r="J174"/>
  <c r="K174"/>
  <c r="B174"/>
  <c r="M174" s="1"/>
  <c r="B173"/>
  <c r="C173"/>
  <c r="M173" s="1"/>
  <c r="D173"/>
  <c r="E173"/>
  <c r="F173"/>
  <c r="G173"/>
  <c r="H173"/>
  <c r="I173"/>
  <c r="J173"/>
  <c r="K173"/>
  <c r="L173"/>
  <c r="C172"/>
  <c r="D172"/>
  <c r="E172"/>
  <c r="F172"/>
  <c r="G172"/>
  <c r="H172"/>
  <c r="I172"/>
  <c r="J172"/>
  <c r="K172"/>
  <c r="L172"/>
  <c r="B172"/>
  <c r="M172" s="1"/>
  <c r="C171"/>
  <c r="D171"/>
  <c r="E171"/>
  <c r="F171"/>
  <c r="G171"/>
  <c r="H171"/>
  <c r="I171"/>
  <c r="J171"/>
  <c r="K171"/>
  <c r="L171"/>
  <c r="B171"/>
  <c r="D167"/>
  <c r="E167"/>
  <c r="F167"/>
  <c r="G167"/>
  <c r="H167"/>
  <c r="I167"/>
  <c r="J167"/>
  <c r="K167"/>
  <c r="L167"/>
  <c r="C167"/>
  <c r="C166"/>
  <c r="M166" s="1"/>
  <c r="D166"/>
  <c r="E166"/>
  <c r="F166"/>
  <c r="G166"/>
  <c r="H166"/>
  <c r="I166"/>
  <c r="J166"/>
  <c r="K166"/>
  <c r="L166"/>
  <c r="C165"/>
  <c r="D165"/>
  <c r="E165"/>
  <c r="F165"/>
  <c r="G165"/>
  <c r="H165"/>
  <c r="I165"/>
  <c r="J165"/>
  <c r="K165"/>
  <c r="L165"/>
  <c r="D164"/>
  <c r="D168" s="1"/>
  <c r="E164"/>
  <c r="F164"/>
  <c r="F168" s="1"/>
  <c r="G164"/>
  <c r="H164"/>
  <c r="H168" s="1"/>
  <c r="I164"/>
  <c r="J164"/>
  <c r="J168" s="1"/>
  <c r="K164"/>
  <c r="L164"/>
  <c r="L168" s="1"/>
  <c r="C164"/>
  <c r="C163"/>
  <c r="M163" s="1"/>
  <c r="D163"/>
  <c r="E163"/>
  <c r="F163"/>
  <c r="G163"/>
  <c r="H163"/>
  <c r="I163"/>
  <c r="J163"/>
  <c r="K163"/>
  <c r="L163"/>
  <c r="B247" i="2"/>
  <c r="C160" i="3"/>
  <c r="D160"/>
  <c r="E160"/>
  <c r="F160"/>
  <c r="G160"/>
  <c r="H160"/>
  <c r="I160"/>
  <c r="J160"/>
  <c r="K160"/>
  <c r="L160"/>
  <c r="B160"/>
  <c r="C159"/>
  <c r="D159"/>
  <c r="E159"/>
  <c r="F159"/>
  <c r="G159"/>
  <c r="H159"/>
  <c r="I159"/>
  <c r="J159"/>
  <c r="K159"/>
  <c r="L159"/>
  <c r="B159"/>
  <c r="M159" s="1"/>
  <c r="C158"/>
  <c r="D158"/>
  <c r="E158"/>
  <c r="F158"/>
  <c r="G158"/>
  <c r="H158"/>
  <c r="I158"/>
  <c r="J158"/>
  <c r="K158"/>
  <c r="L158"/>
  <c r="B158"/>
  <c r="M180"/>
  <c r="M177"/>
  <c r="M167"/>
  <c r="M165"/>
  <c r="K168"/>
  <c r="I168"/>
  <c r="G168"/>
  <c r="E168"/>
  <c r="C168"/>
  <c r="M160"/>
  <c r="M158"/>
  <c r="E262" i="2"/>
  <c r="B245"/>
  <c r="C269"/>
  <c r="D269"/>
  <c r="E269"/>
  <c r="F269"/>
  <c r="G269"/>
  <c r="H269"/>
  <c r="I269"/>
  <c r="J269"/>
  <c r="K269"/>
  <c r="L269"/>
  <c r="B269"/>
  <c r="C268"/>
  <c r="D268"/>
  <c r="E268"/>
  <c r="F268"/>
  <c r="G268"/>
  <c r="H268"/>
  <c r="I268"/>
  <c r="J268"/>
  <c r="K268"/>
  <c r="L268"/>
  <c r="B268"/>
  <c r="D267"/>
  <c r="M267" s="1"/>
  <c r="E267"/>
  <c r="F267"/>
  <c r="G267"/>
  <c r="H267"/>
  <c r="I267"/>
  <c r="J267"/>
  <c r="K267"/>
  <c r="L267"/>
  <c r="C267"/>
  <c r="D266"/>
  <c r="E266"/>
  <c r="F266"/>
  <c r="G266"/>
  <c r="H266"/>
  <c r="I266"/>
  <c r="J266"/>
  <c r="K266"/>
  <c r="L266"/>
  <c r="C266"/>
  <c r="M268"/>
  <c r="M266"/>
  <c r="C262"/>
  <c r="D262"/>
  <c r="F262"/>
  <c r="G262"/>
  <c r="H262"/>
  <c r="I262"/>
  <c r="J262"/>
  <c r="K262"/>
  <c r="L262"/>
  <c r="B262"/>
  <c r="M262" s="1"/>
  <c r="B261"/>
  <c r="C261"/>
  <c r="D261"/>
  <c r="E261"/>
  <c r="F261"/>
  <c r="G261"/>
  <c r="H261"/>
  <c r="I261"/>
  <c r="J261"/>
  <c r="K261"/>
  <c r="L261"/>
  <c r="C259"/>
  <c r="D259"/>
  <c r="M259" s="1"/>
  <c r="E259"/>
  <c r="F259"/>
  <c r="G259"/>
  <c r="H259"/>
  <c r="I259"/>
  <c r="J259"/>
  <c r="K259"/>
  <c r="L259"/>
  <c r="B259"/>
  <c r="C260"/>
  <c r="D260"/>
  <c r="E260"/>
  <c r="F260"/>
  <c r="G260"/>
  <c r="H260"/>
  <c r="I260"/>
  <c r="J260"/>
  <c r="K260"/>
  <c r="L260"/>
  <c r="B260"/>
  <c r="M260" s="1"/>
  <c r="M261"/>
  <c r="C254"/>
  <c r="C253"/>
  <c r="D253"/>
  <c r="M253" s="1"/>
  <c r="E253"/>
  <c r="F253"/>
  <c r="G253"/>
  <c r="H253"/>
  <c r="I253"/>
  <c r="J253"/>
  <c r="K253"/>
  <c r="L253"/>
  <c r="D252"/>
  <c r="E252"/>
  <c r="F252"/>
  <c r="G252"/>
  <c r="H252"/>
  <c r="I252"/>
  <c r="J252"/>
  <c r="K252"/>
  <c r="L252"/>
  <c r="C252"/>
  <c r="D251"/>
  <c r="E251"/>
  <c r="E255" s="1"/>
  <c r="F251"/>
  <c r="G251"/>
  <c r="G255" s="1"/>
  <c r="H251"/>
  <c r="I251"/>
  <c r="I255" s="1"/>
  <c r="J251"/>
  <c r="K251"/>
  <c r="K255" s="1"/>
  <c r="L251"/>
  <c r="C251"/>
  <c r="D250"/>
  <c r="E250"/>
  <c r="F250"/>
  <c r="G250"/>
  <c r="H250"/>
  <c r="I250"/>
  <c r="J250"/>
  <c r="K250"/>
  <c r="L250"/>
  <c r="C250"/>
  <c r="D254"/>
  <c r="E254"/>
  <c r="F254"/>
  <c r="G254"/>
  <c r="H254"/>
  <c r="I254"/>
  <c r="J254"/>
  <c r="K254"/>
  <c r="L254"/>
  <c r="D255"/>
  <c r="F255"/>
  <c r="H255"/>
  <c r="J255"/>
  <c r="L255"/>
  <c r="E247"/>
  <c r="C247"/>
  <c r="D247"/>
  <c r="F247"/>
  <c r="G247"/>
  <c r="H247"/>
  <c r="I247"/>
  <c r="J247"/>
  <c r="K247"/>
  <c r="L247"/>
  <c r="M247"/>
  <c r="B246"/>
  <c r="C246"/>
  <c r="D246"/>
  <c r="E246"/>
  <c r="F246"/>
  <c r="G246"/>
  <c r="H246"/>
  <c r="I246"/>
  <c r="J246"/>
  <c r="K246"/>
  <c r="L246"/>
  <c r="C245"/>
  <c r="D245"/>
  <c r="E245"/>
  <c r="F245"/>
  <c r="G245"/>
  <c r="H245"/>
  <c r="I245"/>
  <c r="J245"/>
  <c r="K245"/>
  <c r="L245"/>
  <c r="M245"/>
  <c r="AN241" i="16" l="1"/>
  <c r="AN251"/>
  <c r="AC241"/>
  <c r="AO241" s="1"/>
  <c r="M168" i="3"/>
  <c r="M171"/>
  <c r="M179"/>
  <c r="M246" i="2"/>
  <c r="M254"/>
  <c r="M269"/>
  <c r="D256" i="16"/>
  <c r="E122"/>
  <c r="G112"/>
  <c r="G111"/>
  <c r="G118" s="1"/>
  <c r="H38"/>
  <c r="G119"/>
  <c r="G120" s="1"/>
  <c r="G128" s="1"/>
  <c r="G131" s="1"/>
  <c r="F241"/>
  <c r="AD241" s="1"/>
  <c r="AP241" s="1"/>
  <c r="G39"/>
  <c r="F114"/>
  <c r="E121"/>
  <c r="E115"/>
  <c r="F120"/>
  <c r="F128" s="1"/>
  <c r="F131" s="1"/>
  <c r="M91" i="1"/>
  <c r="M92"/>
  <c r="M105"/>
  <c r="M98"/>
  <c r="M90"/>
  <c r="M97"/>
  <c r="M112"/>
  <c r="M100"/>
  <c r="M96"/>
  <c r="M164" i="3"/>
  <c r="M252" i="2"/>
  <c r="C255"/>
  <c r="M255" s="1"/>
  <c r="M250"/>
  <c r="M251"/>
  <c r="AB256" i="16" l="1"/>
  <c r="H39"/>
  <c r="G114"/>
  <c r="E256"/>
  <c r="AC256" s="1"/>
  <c r="AO256" s="1"/>
  <c r="F122"/>
  <c r="F121"/>
  <c r="F115"/>
  <c r="H112"/>
  <c r="H111"/>
  <c r="H118" s="1"/>
  <c r="I38"/>
  <c r="H119"/>
  <c r="H120" s="1"/>
  <c r="H128" s="1"/>
  <c r="H131" s="1"/>
  <c r="G241"/>
  <c r="AE241" s="1"/>
  <c r="AQ241" s="1"/>
  <c r="D291"/>
  <c r="E291"/>
  <c r="E294" s="1"/>
  <c r="E123"/>
  <c r="E133" s="1"/>
  <c r="H161"/>
  <c r="G161"/>
  <c r="F161"/>
  <c r="E161"/>
  <c r="D161"/>
  <c r="D226"/>
  <c r="AN256" l="1"/>
  <c r="D294"/>
  <c r="D227"/>
  <c r="D230" s="1"/>
  <c r="P226"/>
  <c r="F123"/>
  <c r="F133" s="1"/>
  <c r="F256"/>
  <c r="G122"/>
  <c r="G121"/>
  <c r="G115"/>
  <c r="I111"/>
  <c r="I118" s="1"/>
  <c r="J38"/>
  <c r="I112"/>
  <c r="I119"/>
  <c r="H241"/>
  <c r="I39"/>
  <c r="H114"/>
  <c r="D302"/>
  <c r="F76"/>
  <c r="F85" s="1"/>
  <c r="P230" l="1"/>
  <c r="AB230"/>
  <c r="D304"/>
  <c r="P227"/>
  <c r="AB227"/>
  <c r="AD256"/>
  <c r="AF241"/>
  <c r="I120"/>
  <c r="I128" s="1"/>
  <c r="I131" s="1"/>
  <c r="G123"/>
  <c r="G133" s="1"/>
  <c r="J39"/>
  <c r="I114"/>
  <c r="J111"/>
  <c r="J118" s="1"/>
  <c r="K38"/>
  <c r="J112"/>
  <c r="G256"/>
  <c r="H122"/>
  <c r="H121"/>
  <c r="H115"/>
  <c r="J119"/>
  <c r="I241"/>
  <c r="F291"/>
  <c r="G78"/>
  <c r="F86"/>
  <c r="D231"/>
  <c r="D250"/>
  <c r="D141"/>
  <c r="D142" s="1"/>
  <c r="AP256" l="1"/>
  <c r="AN230"/>
  <c r="AR241"/>
  <c r="AN227"/>
  <c r="AC231"/>
  <c r="AO231" s="1"/>
  <c r="P231"/>
  <c r="AB231"/>
  <c r="AB250"/>
  <c r="F294"/>
  <c r="G291"/>
  <c r="G294" s="1"/>
  <c r="AE256"/>
  <c r="AQ256" s="1"/>
  <c r="AG241"/>
  <c r="AS241" s="1"/>
  <c r="D135"/>
  <c r="D136" s="1"/>
  <c r="D137" s="1"/>
  <c r="D147" s="1"/>
  <c r="D298"/>
  <c r="J120"/>
  <c r="J128" s="1"/>
  <c r="J131" s="1"/>
  <c r="K111"/>
  <c r="K118" s="1"/>
  <c r="K112"/>
  <c r="L38"/>
  <c r="I121"/>
  <c r="I115"/>
  <c r="H256"/>
  <c r="I122"/>
  <c r="K119"/>
  <c r="J241"/>
  <c r="K39"/>
  <c r="J114"/>
  <c r="H123"/>
  <c r="H133" s="1"/>
  <c r="D232"/>
  <c r="E293"/>
  <c r="G76"/>
  <c r="H76" s="1"/>
  <c r="I76" s="1"/>
  <c r="AN231" l="1"/>
  <c r="AN250"/>
  <c r="P232"/>
  <c r="D233"/>
  <c r="AB232"/>
  <c r="AH241"/>
  <c r="AT241" s="1"/>
  <c r="AF256"/>
  <c r="AR256" s="1"/>
  <c r="D303"/>
  <c r="D143"/>
  <c r="L39"/>
  <c r="K114"/>
  <c r="H291"/>
  <c r="H294" s="1"/>
  <c r="L119"/>
  <c r="K241"/>
  <c r="J121"/>
  <c r="J115"/>
  <c r="I256"/>
  <c r="AG256" s="1"/>
  <c r="AS256" s="1"/>
  <c r="J122"/>
  <c r="L111"/>
  <c r="L118" s="1"/>
  <c r="M38"/>
  <c r="L112"/>
  <c r="I123"/>
  <c r="I133" s="1"/>
  <c r="K120"/>
  <c r="K128" s="1"/>
  <c r="K131" s="1"/>
  <c r="D273"/>
  <c r="D301"/>
  <c r="D255"/>
  <c r="D191"/>
  <c r="E187" s="1"/>
  <c r="E226"/>
  <c r="AN232" l="1"/>
  <c r="AB273"/>
  <c r="AI241"/>
  <c r="AU241" s="1"/>
  <c r="E227"/>
  <c r="Q226"/>
  <c r="AC226"/>
  <c r="D254"/>
  <c r="AB255"/>
  <c r="I291"/>
  <c r="I294" s="1"/>
  <c r="J123"/>
  <c r="J133" s="1"/>
  <c r="M111"/>
  <c r="M118" s="1"/>
  <c r="M112"/>
  <c r="M241" s="1"/>
  <c r="K122"/>
  <c r="J256"/>
  <c r="K121"/>
  <c r="K115"/>
  <c r="M119"/>
  <c r="M120" s="1"/>
  <c r="M128" s="1"/>
  <c r="M131" s="1"/>
  <c r="L241"/>
  <c r="M39"/>
  <c r="M114" s="1"/>
  <c r="L114"/>
  <c r="L120"/>
  <c r="L128" s="1"/>
  <c r="L131" s="1"/>
  <c r="E189"/>
  <c r="E150" s="1"/>
  <c r="E188"/>
  <c r="E234"/>
  <c r="E274" s="1"/>
  <c r="E160"/>
  <c r="E162" s="1"/>
  <c r="D160"/>
  <c r="D162" s="1"/>
  <c r="E141"/>
  <c r="E142" s="1"/>
  <c r="AN255" l="1"/>
  <c r="AO226"/>
  <c r="AN273"/>
  <c r="AC274"/>
  <c r="AK241"/>
  <c r="E292"/>
  <c r="AB254"/>
  <c r="E304"/>
  <c r="Q227"/>
  <c r="AC227"/>
  <c r="AJ241"/>
  <c r="AV241" s="1"/>
  <c r="AH256"/>
  <c r="L121"/>
  <c r="L115"/>
  <c r="L122"/>
  <c r="L123" s="1"/>
  <c r="L133" s="1"/>
  <c r="K256"/>
  <c r="J291"/>
  <c r="J294" s="1"/>
  <c r="K291"/>
  <c r="K294" s="1"/>
  <c r="M121"/>
  <c r="M115"/>
  <c r="M256" s="1"/>
  <c r="K123"/>
  <c r="K133" s="1"/>
  <c r="D148"/>
  <c r="D196" s="1"/>
  <c r="D159"/>
  <c r="E190"/>
  <c r="E151"/>
  <c r="E152" s="1"/>
  <c r="E250"/>
  <c r="F293"/>
  <c r="G77"/>
  <c r="AT256" l="1"/>
  <c r="AN254"/>
  <c r="AW241"/>
  <c r="AX241" s="1"/>
  <c r="AL241"/>
  <c r="AO227"/>
  <c r="AO274"/>
  <c r="AC250"/>
  <c r="AI256"/>
  <c r="AU256" s="1"/>
  <c r="E197"/>
  <c r="D214"/>
  <c r="M122"/>
  <c r="M123" s="1"/>
  <c r="M133" s="1"/>
  <c r="L256"/>
  <c r="D156"/>
  <c r="D267"/>
  <c r="D163"/>
  <c r="D270"/>
  <c r="H77"/>
  <c r="F226"/>
  <c r="F87"/>
  <c r="AO250" l="1"/>
  <c r="F227"/>
  <c r="R226"/>
  <c r="AD226"/>
  <c r="D269"/>
  <c r="AB270"/>
  <c r="D266"/>
  <c r="M291"/>
  <c r="AK256"/>
  <c r="AW256" s="1"/>
  <c r="AJ256"/>
  <c r="AV256" s="1"/>
  <c r="F197"/>
  <c r="E215"/>
  <c r="E153" s="1"/>
  <c r="D216"/>
  <c r="E195" s="1"/>
  <c r="L291"/>
  <c r="L294" s="1"/>
  <c r="G85"/>
  <c r="I77"/>
  <c r="F88"/>
  <c r="F251" s="1"/>
  <c r="F141"/>
  <c r="F142" s="1"/>
  <c r="AX256" l="1"/>
  <c r="AN270"/>
  <c r="AP226"/>
  <c r="AL256"/>
  <c r="AD251"/>
  <c r="M294"/>
  <c r="N294" s="1"/>
  <c r="N291"/>
  <c r="D268"/>
  <c r="AB269"/>
  <c r="F304"/>
  <c r="R227"/>
  <c r="AD227"/>
  <c r="E213"/>
  <c r="E229" s="1"/>
  <c r="G197"/>
  <c r="H79"/>
  <c r="G86"/>
  <c r="J77"/>
  <c r="H78"/>
  <c r="G293"/>
  <c r="F250"/>
  <c r="AP227" l="1"/>
  <c r="AN269"/>
  <c r="AP251"/>
  <c r="Q229"/>
  <c r="AC229"/>
  <c r="AB268"/>
  <c r="D296"/>
  <c r="D276"/>
  <c r="AD250"/>
  <c r="E154"/>
  <c r="E155" s="1"/>
  <c r="H197"/>
  <c r="I78"/>
  <c r="G87"/>
  <c r="G226"/>
  <c r="AP250" l="1"/>
  <c r="AO229"/>
  <c r="AN268"/>
  <c r="G227"/>
  <c r="S226"/>
  <c r="AE226"/>
  <c r="AB276"/>
  <c r="I197"/>
  <c r="H85"/>
  <c r="J78"/>
  <c r="G88"/>
  <c r="G251" s="1"/>
  <c r="G141"/>
  <c r="G142" s="1"/>
  <c r="AQ226" l="1"/>
  <c r="AN276"/>
  <c r="AE251"/>
  <c r="G304"/>
  <c r="S227"/>
  <c r="AE227"/>
  <c r="J197"/>
  <c r="I80"/>
  <c r="H86"/>
  <c r="K78"/>
  <c r="I79"/>
  <c r="H293"/>
  <c r="G250"/>
  <c r="AQ251" l="1"/>
  <c r="AQ227"/>
  <c r="AE250"/>
  <c r="K197"/>
  <c r="J79"/>
  <c r="H226"/>
  <c r="H87"/>
  <c r="AQ250" l="1"/>
  <c r="H227"/>
  <c r="T226"/>
  <c r="AF226"/>
  <c r="AR226" s="1"/>
  <c r="L197"/>
  <c r="I85"/>
  <c r="K79"/>
  <c r="H88"/>
  <c r="H251" s="1"/>
  <c r="H141"/>
  <c r="H142" s="1"/>
  <c r="AF251" l="1"/>
  <c r="H304"/>
  <c r="T227"/>
  <c r="AF227"/>
  <c r="M197"/>
  <c r="J81"/>
  <c r="I86"/>
  <c r="L79"/>
  <c r="I293"/>
  <c r="H250"/>
  <c r="J80"/>
  <c r="AR251" l="1"/>
  <c r="AR227"/>
  <c r="AF250"/>
  <c r="K80"/>
  <c r="I87"/>
  <c r="I226"/>
  <c r="AR250" l="1"/>
  <c r="I227"/>
  <c r="U226"/>
  <c r="AG226"/>
  <c r="AS226" s="1"/>
  <c r="J85"/>
  <c r="J226" s="1"/>
  <c r="J227" s="1"/>
  <c r="L80"/>
  <c r="I88"/>
  <c r="I251" s="1"/>
  <c r="I141"/>
  <c r="I142" s="1"/>
  <c r="I304" l="1"/>
  <c r="U227"/>
  <c r="AG227"/>
  <c r="AG251"/>
  <c r="K82"/>
  <c r="J86"/>
  <c r="K81"/>
  <c r="L81" s="1"/>
  <c r="M80"/>
  <c r="J293"/>
  <c r="I250"/>
  <c r="AS227" l="1"/>
  <c r="AS251"/>
  <c r="AG250"/>
  <c r="AS250" s="1"/>
  <c r="J87"/>
  <c r="V226" l="1"/>
  <c r="AH226"/>
  <c r="AT226" s="1"/>
  <c r="K85"/>
  <c r="L83" s="1"/>
  <c r="M83" s="1"/>
  <c r="L82"/>
  <c r="J88"/>
  <c r="J251" s="1"/>
  <c r="M81"/>
  <c r="J141"/>
  <c r="J142" s="1"/>
  <c r="K86" l="1"/>
  <c r="K226"/>
  <c r="K227" s="1"/>
  <c r="J304"/>
  <c r="V227"/>
  <c r="AH227"/>
  <c r="AH251"/>
  <c r="AT251" s="1"/>
  <c r="M82"/>
  <c r="K87"/>
  <c r="K293"/>
  <c r="J250"/>
  <c r="AT227" l="1"/>
  <c r="AH250"/>
  <c r="AT250" s="1"/>
  <c r="W226"/>
  <c r="AI226"/>
  <c r="AU226" s="1"/>
  <c r="L85"/>
  <c r="K88"/>
  <c r="K251" s="1"/>
  <c r="K141"/>
  <c r="K142" s="1"/>
  <c r="L226" l="1"/>
  <c r="L227" s="1"/>
  <c r="M84"/>
  <c r="AI251"/>
  <c r="AU251" s="1"/>
  <c r="K304"/>
  <c r="W227"/>
  <c r="AI227"/>
  <c r="M85"/>
  <c r="M226" s="1"/>
  <c r="M227" s="1"/>
  <c r="L86"/>
  <c r="K250"/>
  <c r="L293"/>
  <c r="L87"/>
  <c r="AU227" l="1"/>
  <c r="X226"/>
  <c r="AJ226"/>
  <c r="AV226" s="1"/>
  <c r="AI250"/>
  <c r="AU250" s="1"/>
  <c r="M86"/>
  <c r="L88"/>
  <c r="L251" s="1"/>
  <c r="L141"/>
  <c r="L142" s="1"/>
  <c r="AJ251" l="1"/>
  <c r="AV251" s="1"/>
  <c r="L304"/>
  <c r="X227"/>
  <c r="AJ227"/>
  <c r="M87"/>
  <c r="M141" s="1"/>
  <c r="M142" s="1"/>
  <c r="M293"/>
  <c r="N293" s="1"/>
  <c r="L250"/>
  <c r="AV227" l="1"/>
  <c r="AJ250"/>
  <c r="AV250" s="1"/>
  <c r="Y226"/>
  <c r="Z226" s="1"/>
  <c r="AK226"/>
  <c r="M88"/>
  <c r="M251" s="1"/>
  <c r="AW226" l="1"/>
  <c r="AX226" s="1"/>
  <c r="AL226"/>
  <c r="M250"/>
  <c r="AK251"/>
  <c r="M304"/>
  <c r="N304" s="1"/>
  <c r="Y227"/>
  <c r="Z227" s="1"/>
  <c r="AK227"/>
  <c r="D164"/>
  <c r="D170" s="1"/>
  <c r="D240" s="1"/>
  <c r="AW251" l="1"/>
  <c r="AX251" s="1"/>
  <c r="AL251"/>
  <c r="AW227"/>
  <c r="AL227"/>
  <c r="AK250"/>
  <c r="AB240"/>
  <c r="E167"/>
  <c r="E168" s="1"/>
  <c r="E169" s="1"/>
  <c r="D171"/>
  <c r="D172" s="1"/>
  <c r="D173" s="1"/>
  <c r="E228"/>
  <c r="AX227" l="1"/>
  <c r="AN240"/>
  <c r="AW250"/>
  <c r="AX250" s="1"/>
  <c r="AL250"/>
  <c r="E230"/>
  <c r="E231" s="1"/>
  <c r="Q228"/>
  <c r="AC228"/>
  <c r="D239"/>
  <c r="AO228" l="1"/>
  <c r="D238"/>
  <c r="AB239"/>
  <c r="Q230"/>
  <c r="AC230"/>
  <c r="E298"/>
  <c r="AO230" l="1"/>
  <c r="AN239"/>
  <c r="Q231"/>
  <c r="AD231"/>
  <c r="D253"/>
  <c r="P238" s="1"/>
  <c r="AB238"/>
  <c r="E232"/>
  <c r="E233" s="1"/>
  <c r="F234" s="1"/>
  <c r="F274" s="1"/>
  <c r="E135"/>
  <c r="E136" s="1"/>
  <c r="E137" s="1"/>
  <c r="E143" s="1"/>
  <c r="D285"/>
  <c r="D286"/>
  <c r="D287"/>
  <c r="E273" l="1"/>
  <c r="D279"/>
  <c r="E301"/>
  <c r="AN238"/>
  <c r="AP231"/>
  <c r="E147"/>
  <c r="E255" s="1"/>
  <c r="AC273"/>
  <c r="E303"/>
  <c r="Q232"/>
  <c r="AC232"/>
  <c r="P245"/>
  <c r="P253"/>
  <c r="P246"/>
  <c r="P262"/>
  <c r="P242"/>
  <c r="P247"/>
  <c r="P259"/>
  <c r="P258"/>
  <c r="P261"/>
  <c r="P260"/>
  <c r="P243"/>
  <c r="P244"/>
  <c r="P257"/>
  <c r="P275"/>
  <c r="P272"/>
  <c r="P271"/>
  <c r="P264"/>
  <c r="P263"/>
  <c r="P265"/>
  <c r="P252"/>
  <c r="P249"/>
  <c r="AB253"/>
  <c r="P274"/>
  <c r="P248"/>
  <c r="P251"/>
  <c r="P241"/>
  <c r="P256"/>
  <c r="P250"/>
  <c r="P273"/>
  <c r="P255"/>
  <c r="P254"/>
  <c r="P270"/>
  <c r="P267"/>
  <c r="P266"/>
  <c r="P269"/>
  <c r="P268"/>
  <c r="P276"/>
  <c r="P240"/>
  <c r="P239"/>
  <c r="AD274"/>
  <c r="E302"/>
  <c r="D2"/>
  <c r="D297"/>
  <c r="F160"/>
  <c r="F162" s="1"/>
  <c r="AO273" l="1"/>
  <c r="AP274"/>
  <c r="AN253"/>
  <c r="AO232"/>
  <c r="E159"/>
  <c r="E191"/>
  <c r="F187" s="1"/>
  <c r="E148"/>
  <c r="E254"/>
  <c r="AC255"/>
  <c r="AO255" l="1"/>
  <c r="E198"/>
  <c r="E156"/>
  <c r="E267"/>
  <c r="E270"/>
  <c r="E163"/>
  <c r="F189"/>
  <c r="F150" s="1"/>
  <c r="F188"/>
  <c r="F292"/>
  <c r="AC254"/>
  <c r="E164" l="1"/>
  <c r="E170" s="1"/>
  <c r="AO254"/>
  <c r="E171"/>
  <c r="E172" s="1"/>
  <c r="E173" s="1"/>
  <c r="E239" s="1"/>
  <c r="F190"/>
  <c r="F151"/>
  <c r="F152" s="1"/>
  <c r="E266"/>
  <c r="AC267"/>
  <c r="F199"/>
  <c r="E214"/>
  <c r="E216" s="1"/>
  <c r="F195" s="1"/>
  <c r="F213" s="1"/>
  <c r="F229" s="1"/>
  <c r="AD229" s="1"/>
  <c r="AC270"/>
  <c r="E269"/>
  <c r="AC269" s="1"/>
  <c r="R229" l="1"/>
  <c r="E240"/>
  <c r="F228"/>
  <c r="F167"/>
  <c r="F168" s="1"/>
  <c r="F169" s="1"/>
  <c r="AO269"/>
  <c r="AP229"/>
  <c r="AO267"/>
  <c r="AO270"/>
  <c r="F230"/>
  <c r="F154"/>
  <c r="F215"/>
  <c r="F153" s="1"/>
  <c r="G199"/>
  <c r="H199" s="1"/>
  <c r="I199" s="1"/>
  <c r="E268"/>
  <c r="AC266"/>
  <c r="AC239"/>
  <c r="R228" l="1"/>
  <c r="AD228"/>
  <c r="AP228" s="1"/>
  <c r="E238"/>
  <c r="AC240"/>
  <c r="AO240" s="1"/>
  <c r="R230"/>
  <c r="F231"/>
  <c r="AE231" s="1"/>
  <c r="AD230"/>
  <c r="AP230" s="1"/>
  <c r="F155"/>
  <c r="AO239"/>
  <c r="AO266"/>
  <c r="E296"/>
  <c r="AC268"/>
  <c r="E276"/>
  <c r="AC276" s="1"/>
  <c r="AC238"/>
  <c r="J199"/>
  <c r="E287"/>
  <c r="E253"/>
  <c r="E286"/>
  <c r="E285"/>
  <c r="R231" l="1"/>
  <c r="F232"/>
  <c r="F303" s="1"/>
  <c r="F298"/>
  <c r="F135"/>
  <c r="F136" s="1"/>
  <c r="F137" s="1"/>
  <c r="F143" s="1"/>
  <c r="AO276"/>
  <c r="AO238"/>
  <c r="AQ231"/>
  <c r="AO268"/>
  <c r="E279"/>
  <c r="E2" s="1"/>
  <c r="Q245"/>
  <c r="Q253"/>
  <c r="Q246"/>
  <c r="Q262"/>
  <c r="Q257"/>
  <c r="Q243"/>
  <c r="Q261"/>
  <c r="Q258"/>
  <c r="Q247"/>
  <c r="Q259"/>
  <c r="Q242"/>
  <c r="Q244"/>
  <c r="Q260"/>
  <c r="Q271"/>
  <c r="Q275"/>
  <c r="Q265"/>
  <c r="Q272"/>
  <c r="Q264"/>
  <c r="Q263"/>
  <c r="Q252"/>
  <c r="Q249"/>
  <c r="Q248"/>
  <c r="Q251"/>
  <c r="Q241"/>
  <c r="Q256"/>
  <c r="Q274"/>
  <c r="Q250"/>
  <c r="Q273"/>
  <c r="AC253"/>
  <c r="Q270"/>
  <c r="Q269"/>
  <c r="Q267"/>
  <c r="Q255"/>
  <c r="Q266"/>
  <c r="Q254"/>
  <c r="Q240"/>
  <c r="Q268"/>
  <c r="Q239"/>
  <c r="Q276"/>
  <c r="Q238"/>
  <c r="K199"/>
  <c r="F233"/>
  <c r="G234" s="1"/>
  <c r="G274" s="1"/>
  <c r="F302"/>
  <c r="E297"/>
  <c r="F301" l="1"/>
  <c r="R232"/>
  <c r="F273"/>
  <c r="AD232"/>
  <c r="F147"/>
  <c r="F255" s="1"/>
  <c r="AD255" s="1"/>
  <c r="AP232"/>
  <c r="AO253"/>
  <c r="AD273"/>
  <c r="AE274"/>
  <c r="L199"/>
  <c r="G160"/>
  <c r="G162" s="1"/>
  <c r="F254" l="1"/>
  <c r="G292" s="1"/>
  <c r="F159"/>
  <c r="F163" s="1"/>
  <c r="F148"/>
  <c r="F191"/>
  <c r="G187" s="1"/>
  <c r="AP255"/>
  <c r="AQ274"/>
  <c r="AP273"/>
  <c r="M199"/>
  <c r="AD254" l="1"/>
  <c r="F270"/>
  <c r="F156"/>
  <c r="F164" s="1"/>
  <c r="F170" s="1"/>
  <c r="F200"/>
  <c r="F267"/>
  <c r="G188"/>
  <c r="G189"/>
  <c r="G150" s="1"/>
  <c r="AP254"/>
  <c r="F269" l="1"/>
  <c r="AD269" s="1"/>
  <c r="AD270"/>
  <c r="AP270" s="1"/>
  <c r="F266"/>
  <c r="AD267"/>
  <c r="AP267" s="1"/>
  <c r="F240"/>
  <c r="G167"/>
  <c r="G168" s="1"/>
  <c r="G169" s="1"/>
  <c r="G228"/>
  <c r="F171"/>
  <c r="F172" s="1"/>
  <c r="F173" s="1"/>
  <c r="F239" s="1"/>
  <c r="G151"/>
  <c r="G152" s="1"/>
  <c r="G190"/>
  <c r="G201"/>
  <c r="F214"/>
  <c r="F216" s="1"/>
  <c r="G195" s="1"/>
  <c r="G213" s="1"/>
  <c r="AP269"/>
  <c r="AD239"/>
  <c r="F238" l="1"/>
  <c r="AD238" s="1"/>
  <c r="H201"/>
  <c r="I201" s="1"/>
  <c r="G215"/>
  <c r="G153" s="1"/>
  <c r="S228"/>
  <c r="AE228"/>
  <c r="AQ228" s="1"/>
  <c r="AD240"/>
  <c r="AP240" s="1"/>
  <c r="AD266"/>
  <c r="AP266" s="1"/>
  <c r="F268"/>
  <c r="G229"/>
  <c r="G154"/>
  <c r="AP239"/>
  <c r="J201"/>
  <c r="F286"/>
  <c r="F287" l="1"/>
  <c r="F253"/>
  <c r="R253" s="1"/>
  <c r="F285"/>
  <c r="S229"/>
  <c r="AE229"/>
  <c r="AQ229" s="1"/>
  <c r="F296"/>
  <c r="AD268"/>
  <c r="AP268" s="1"/>
  <c r="F276"/>
  <c r="AD276" s="1"/>
  <c r="AP276" s="1"/>
  <c r="G230"/>
  <c r="G231" s="1"/>
  <c r="G155"/>
  <c r="AP238"/>
  <c r="R245"/>
  <c r="K201"/>
  <c r="R267" l="1"/>
  <c r="R271"/>
  <c r="R251"/>
  <c r="R243"/>
  <c r="R268"/>
  <c r="R273"/>
  <c r="R249"/>
  <c r="R247"/>
  <c r="R260"/>
  <c r="F297"/>
  <c r="R276"/>
  <c r="R270"/>
  <c r="R240"/>
  <c r="R274"/>
  <c r="R241"/>
  <c r="R264"/>
  <c r="R265"/>
  <c r="R244"/>
  <c r="R261"/>
  <c r="R246"/>
  <c r="G302"/>
  <c r="R238"/>
  <c r="R239"/>
  <c r="R269"/>
  <c r="R254"/>
  <c r="R266"/>
  <c r="R255"/>
  <c r="AD253"/>
  <c r="R250"/>
  <c r="R256"/>
  <c r="R248"/>
  <c r="R252"/>
  <c r="R263"/>
  <c r="R275"/>
  <c r="R272"/>
  <c r="R259"/>
  <c r="R242"/>
  <c r="R257"/>
  <c r="R258"/>
  <c r="R262"/>
  <c r="AE230"/>
  <c r="AQ230" s="1"/>
  <c r="S230"/>
  <c r="F279"/>
  <c r="F2" s="1"/>
  <c r="L201"/>
  <c r="AP253" l="1"/>
  <c r="G298"/>
  <c r="G135"/>
  <c r="G136" s="1"/>
  <c r="G137" s="1"/>
  <c r="AF231"/>
  <c r="AR231" s="1"/>
  <c r="S231"/>
  <c r="G232"/>
  <c r="M201"/>
  <c r="G143" l="1"/>
  <c r="G147"/>
  <c r="S232"/>
  <c r="D310"/>
  <c r="G233"/>
  <c r="AE232"/>
  <c r="G303"/>
  <c r="G273"/>
  <c r="AE273" s="1"/>
  <c r="AQ273" s="1"/>
  <c r="G301"/>
  <c r="AQ232" l="1"/>
  <c r="G255"/>
  <c r="G191"/>
  <c r="H187" s="1"/>
  <c r="H234"/>
  <c r="H274" s="1"/>
  <c r="AF274" s="1"/>
  <c r="AR274" s="1"/>
  <c r="H160"/>
  <c r="H162" s="1"/>
  <c r="G148"/>
  <c r="G159"/>
  <c r="G267" l="1"/>
  <c r="G202"/>
  <c r="H189"/>
  <c r="H150" s="1"/>
  <c r="H188"/>
  <c r="G163"/>
  <c r="G270"/>
  <c r="AE255"/>
  <c r="AQ255" s="1"/>
  <c r="G254"/>
  <c r="G156"/>
  <c r="AE254" l="1"/>
  <c r="AQ254" s="1"/>
  <c r="H292"/>
  <c r="AE270"/>
  <c r="AQ270" s="1"/>
  <c r="G269"/>
  <c r="H151"/>
  <c r="H152" s="1"/>
  <c r="H190"/>
  <c r="H203"/>
  <c r="G214"/>
  <c r="G216" s="1"/>
  <c r="H195" s="1"/>
  <c r="H213" s="1"/>
  <c r="AE267"/>
  <c r="AQ267" s="1"/>
  <c r="G266"/>
  <c r="G164"/>
  <c r="G170" s="1"/>
  <c r="AE266" l="1"/>
  <c r="AQ266" s="1"/>
  <c r="G268"/>
  <c r="H229"/>
  <c r="H154"/>
  <c r="AE269"/>
  <c r="AQ269" s="1"/>
  <c r="G240"/>
  <c r="AE240" s="1"/>
  <c r="AQ240" s="1"/>
  <c r="H167"/>
  <c r="H168" s="1"/>
  <c r="H169" s="1"/>
  <c r="H228"/>
  <c r="AF228" s="1"/>
  <c r="AR228" s="1"/>
  <c r="G171"/>
  <c r="G172" s="1"/>
  <c r="G173" s="1"/>
  <c r="I203"/>
  <c r="J203" s="1"/>
  <c r="K203" s="1"/>
  <c r="L203" s="1"/>
  <c r="M203" s="1"/>
  <c r="H215"/>
  <c r="H153" s="1"/>
  <c r="H155" l="1"/>
  <c r="G239"/>
  <c r="G276"/>
  <c r="AE268"/>
  <c r="AQ268" s="1"/>
  <c r="G296"/>
  <c r="H230"/>
  <c r="H231" s="1"/>
  <c r="T228"/>
  <c r="T229"/>
  <c r="AF229"/>
  <c r="AR229" s="1"/>
  <c r="AF230" l="1"/>
  <c r="AR230" s="1"/>
  <c r="T230"/>
  <c r="H232"/>
  <c r="AE276"/>
  <c r="AQ276" s="1"/>
  <c r="G238"/>
  <c r="AE239"/>
  <c r="AQ239" s="1"/>
  <c r="H233" l="1"/>
  <c r="H273"/>
  <c r="AF273" s="1"/>
  <c r="AR273" s="1"/>
  <c r="H303"/>
  <c r="AF232"/>
  <c r="T232"/>
  <c r="H301"/>
  <c r="AE238"/>
  <c r="AQ238" s="1"/>
  <c r="G287"/>
  <c r="G253"/>
  <c r="S238" s="1"/>
  <c r="G286"/>
  <c r="G285"/>
  <c r="H135"/>
  <c r="H136" s="1"/>
  <c r="H137" s="1"/>
  <c r="H298"/>
  <c r="T231"/>
  <c r="AR232" l="1"/>
  <c r="H143"/>
  <c r="H147"/>
  <c r="S245"/>
  <c r="S246"/>
  <c r="S247"/>
  <c r="S243"/>
  <c r="S242"/>
  <c r="S258"/>
  <c r="S261"/>
  <c r="S272"/>
  <c r="S271"/>
  <c r="S264"/>
  <c r="S249"/>
  <c r="S241"/>
  <c r="S251"/>
  <c r="S274"/>
  <c r="S255"/>
  <c r="S267"/>
  <c r="S254"/>
  <c r="G279"/>
  <c r="G2" s="1"/>
  <c r="S253"/>
  <c r="S262"/>
  <c r="S259"/>
  <c r="S244"/>
  <c r="S257"/>
  <c r="S260"/>
  <c r="S275"/>
  <c r="S265"/>
  <c r="S263"/>
  <c r="S252"/>
  <c r="S248"/>
  <c r="S256"/>
  <c r="S250"/>
  <c r="S273"/>
  <c r="AE253"/>
  <c r="S270"/>
  <c r="S266"/>
  <c r="H302"/>
  <c r="S269"/>
  <c r="S268"/>
  <c r="G297"/>
  <c r="S240"/>
  <c r="S239"/>
  <c r="S276"/>
  <c r="I234"/>
  <c r="I160"/>
  <c r="I162" s="1"/>
  <c r="I274" l="1"/>
  <c r="AG274" s="1"/>
  <c r="AS274" s="1"/>
  <c r="H191"/>
  <c r="I187" s="1"/>
  <c r="H255"/>
  <c r="AQ253"/>
  <c r="H148"/>
  <c r="H159"/>
  <c r="H204" l="1"/>
  <c r="H267"/>
  <c r="H254"/>
  <c r="AF255"/>
  <c r="AR255" s="1"/>
  <c r="H270"/>
  <c r="H163"/>
  <c r="I189"/>
  <c r="I188"/>
  <c r="H156"/>
  <c r="H164" l="1"/>
  <c r="H170" s="1"/>
  <c r="H240" s="1"/>
  <c r="I190"/>
  <c r="I151"/>
  <c r="H266"/>
  <c r="AF267"/>
  <c r="AR267" s="1"/>
  <c r="I150"/>
  <c r="AF270"/>
  <c r="AR270" s="1"/>
  <c r="H269"/>
  <c r="I292"/>
  <c r="AF254"/>
  <c r="AR254" s="1"/>
  <c r="H214"/>
  <c r="H216" s="1"/>
  <c r="I195" s="1"/>
  <c r="I205"/>
  <c r="I167" l="1"/>
  <c r="I168" s="1"/>
  <c r="I169" s="1"/>
  <c r="I228"/>
  <c r="AG228" s="1"/>
  <c r="H171"/>
  <c r="H172" s="1"/>
  <c r="H173" s="1"/>
  <c r="H239" s="1"/>
  <c r="I152"/>
  <c r="I213"/>
  <c r="AF269"/>
  <c r="AR269" s="1"/>
  <c r="I214"/>
  <c r="J205"/>
  <c r="I215"/>
  <c r="I153" s="1"/>
  <c r="AF266"/>
  <c r="AR266" s="1"/>
  <c r="H268"/>
  <c r="H276" s="1"/>
  <c r="AF240"/>
  <c r="AR240" s="1"/>
  <c r="U228" l="1"/>
  <c r="I216"/>
  <c r="J195" s="1"/>
  <c r="J213" s="1"/>
  <c r="J215"/>
  <c r="J153" s="1"/>
  <c r="K205"/>
  <c r="L205" s="1"/>
  <c r="M205" s="1"/>
  <c r="AS228"/>
  <c r="AF276"/>
  <c r="AR276" s="1"/>
  <c r="AF239"/>
  <c r="AR239" s="1"/>
  <c r="H238"/>
  <c r="AF268"/>
  <c r="AR268" s="1"/>
  <c r="H296"/>
  <c r="I229"/>
  <c r="I154"/>
  <c r="I155" s="1"/>
  <c r="J154" l="1"/>
  <c r="AG229"/>
  <c r="U229"/>
  <c r="I230"/>
  <c r="I231" s="1"/>
  <c r="AG231" s="1"/>
  <c r="AS231" s="1"/>
  <c r="AF238"/>
  <c r="AR238" s="1"/>
  <c r="H286"/>
  <c r="H287"/>
  <c r="H253"/>
  <c r="T238" s="1"/>
  <c r="H285"/>
  <c r="H279" l="1"/>
  <c r="H2" s="1"/>
  <c r="T253"/>
  <c r="T262"/>
  <c r="T257"/>
  <c r="T247"/>
  <c r="T260"/>
  <c r="T242"/>
  <c r="T272"/>
  <c r="T271"/>
  <c r="T263"/>
  <c r="T252"/>
  <c r="T248"/>
  <c r="T256"/>
  <c r="T250"/>
  <c r="AF253"/>
  <c r="T273"/>
  <c r="T245"/>
  <c r="T246"/>
  <c r="T261"/>
  <c r="T244"/>
  <c r="T243"/>
  <c r="T258"/>
  <c r="T259"/>
  <c r="T265"/>
  <c r="T275"/>
  <c r="T264"/>
  <c r="T249"/>
  <c r="T241"/>
  <c r="T251"/>
  <c r="T274"/>
  <c r="T255"/>
  <c r="I302"/>
  <c r="T254"/>
  <c r="T267"/>
  <c r="T270"/>
  <c r="T240"/>
  <c r="T269"/>
  <c r="T266"/>
  <c r="T239"/>
  <c r="T268"/>
  <c r="T276"/>
  <c r="H297"/>
  <c r="U230"/>
  <c r="I232"/>
  <c r="AG230"/>
  <c r="AS230" s="1"/>
  <c r="AS229"/>
  <c r="U232" l="1"/>
  <c r="I233"/>
  <c r="J234" s="1"/>
  <c r="I303"/>
  <c r="AG232"/>
  <c r="AS232" s="1"/>
  <c r="I273"/>
  <c r="I301"/>
  <c r="I135"/>
  <c r="I136" s="1"/>
  <c r="I137" s="1"/>
  <c r="U231"/>
  <c r="I298"/>
  <c r="AR253"/>
  <c r="J274" l="1"/>
  <c r="J160"/>
  <c r="J162" s="1"/>
  <c r="I143"/>
  <c r="I147"/>
  <c r="AG273"/>
  <c r="AS273" s="1"/>
  <c r="I255" l="1"/>
  <c r="I191"/>
  <c r="J187" s="1"/>
  <c r="I148"/>
  <c r="I159"/>
  <c r="AH274"/>
  <c r="AT274" s="1"/>
  <c r="I163" l="1"/>
  <c r="I270"/>
  <c r="I269" s="1"/>
  <c r="J189"/>
  <c r="J150" s="1"/>
  <c r="J188"/>
  <c r="J229" s="1"/>
  <c r="I156"/>
  <c r="I267"/>
  <c r="I254"/>
  <c r="AG255"/>
  <c r="AS255" s="1"/>
  <c r="AG254" l="1"/>
  <c r="AS254" s="1"/>
  <c r="J292"/>
  <c r="J190"/>
  <c r="J151"/>
  <c r="J152" s="1"/>
  <c r="J155" s="1"/>
  <c r="AG270"/>
  <c r="AS270" s="1"/>
  <c r="I266"/>
  <c r="AG267"/>
  <c r="AS267" s="1"/>
  <c r="I164"/>
  <c r="I170" s="1"/>
  <c r="J228" s="1"/>
  <c r="J230" s="1"/>
  <c r="J231" s="1"/>
  <c r="J232" s="1"/>
  <c r="I240" l="1"/>
  <c r="J167"/>
  <c r="J168" s="1"/>
  <c r="J169" s="1"/>
  <c r="I171"/>
  <c r="I172" s="1"/>
  <c r="I173" s="1"/>
  <c r="AG269"/>
  <c r="AS269" s="1"/>
  <c r="I268"/>
  <c r="AG266"/>
  <c r="AS266" s="1"/>
  <c r="AH229"/>
  <c r="AT229" s="1"/>
  <c r="V229"/>
  <c r="I296" l="1"/>
  <c r="AG268"/>
  <c r="AS268" s="1"/>
  <c r="I239"/>
  <c r="V228"/>
  <c r="AH231"/>
  <c r="AT231" s="1"/>
  <c r="AH228"/>
  <c r="AG240"/>
  <c r="AS240" s="1"/>
  <c r="I276"/>
  <c r="AG276" l="1"/>
  <c r="AS276" s="1"/>
  <c r="V230"/>
  <c r="AH230"/>
  <c r="AT230" s="1"/>
  <c r="AG239"/>
  <c r="AS239" s="1"/>
  <c r="I238"/>
  <c r="AT228"/>
  <c r="I253" l="1"/>
  <c r="U238" s="1"/>
  <c r="I285"/>
  <c r="AG238"/>
  <c r="I286"/>
  <c r="I287"/>
  <c r="J303"/>
  <c r="J233"/>
  <c r="K234" s="1"/>
  <c r="V232"/>
  <c r="J273"/>
  <c r="AH232"/>
  <c r="J301"/>
  <c r="J298"/>
  <c r="J135"/>
  <c r="J136" s="1"/>
  <c r="J137" s="1"/>
  <c r="V231"/>
  <c r="J143" l="1"/>
  <c r="J147"/>
  <c r="AT232"/>
  <c r="AH273"/>
  <c r="AT273" s="1"/>
  <c r="K160"/>
  <c r="K162" s="1"/>
  <c r="AS238"/>
  <c r="I279"/>
  <c r="I2" s="1"/>
  <c r="U253"/>
  <c r="U262"/>
  <c r="U242"/>
  <c r="U257"/>
  <c r="U259"/>
  <c r="U247"/>
  <c r="U265"/>
  <c r="U271"/>
  <c r="U264"/>
  <c r="U252"/>
  <c r="U248"/>
  <c r="U256"/>
  <c r="U250"/>
  <c r="J302"/>
  <c r="U245"/>
  <c r="U246"/>
  <c r="U243"/>
  <c r="U260"/>
  <c r="U261"/>
  <c r="U258"/>
  <c r="U244"/>
  <c r="U275"/>
  <c r="U272"/>
  <c r="U263"/>
  <c r="U249"/>
  <c r="U241"/>
  <c r="U251"/>
  <c r="U274"/>
  <c r="AG253"/>
  <c r="AS253" s="1"/>
  <c r="U273"/>
  <c r="U255"/>
  <c r="U254"/>
  <c r="U267"/>
  <c r="U270"/>
  <c r="U269"/>
  <c r="U266"/>
  <c r="U268"/>
  <c r="I297"/>
  <c r="U240"/>
  <c r="U276"/>
  <c r="U239"/>
  <c r="K274" l="1"/>
  <c r="J159"/>
  <c r="J255"/>
  <c r="J191"/>
  <c r="K187" s="1"/>
  <c r="J148"/>
  <c r="J206" l="1"/>
  <c r="J267"/>
  <c r="K188"/>
  <c r="K189"/>
  <c r="K150" s="1"/>
  <c r="J254"/>
  <c r="AH255"/>
  <c r="AT255" s="1"/>
  <c r="J163"/>
  <c r="J270"/>
  <c r="AI274"/>
  <c r="AU274" s="1"/>
  <c r="J156"/>
  <c r="J164" l="1"/>
  <c r="J170" s="1"/>
  <c r="K292"/>
  <c r="AH254"/>
  <c r="AT254" s="1"/>
  <c r="J266"/>
  <c r="AH267"/>
  <c r="AT267" s="1"/>
  <c r="J269"/>
  <c r="AH270"/>
  <c r="AT270" s="1"/>
  <c r="K190"/>
  <c r="K151"/>
  <c r="K152" s="1"/>
  <c r="K207"/>
  <c r="J214"/>
  <c r="J216" s="1"/>
  <c r="K195" s="1"/>
  <c r="K213" s="1"/>
  <c r="K229" s="1"/>
  <c r="J240" l="1"/>
  <c r="K228"/>
  <c r="J171"/>
  <c r="J172" s="1"/>
  <c r="J173" s="1"/>
  <c r="K167"/>
  <c r="K168" s="1"/>
  <c r="K169" s="1"/>
  <c r="K154"/>
  <c r="AH269"/>
  <c r="AT269" s="1"/>
  <c r="J239"/>
  <c r="K215"/>
  <c r="K153" s="1"/>
  <c r="L207"/>
  <c r="J268"/>
  <c r="AH266"/>
  <c r="AT266" s="1"/>
  <c r="AH240"/>
  <c r="AT240" s="1"/>
  <c r="W228" l="1"/>
  <c r="K230"/>
  <c r="K155"/>
  <c r="AI228"/>
  <c r="AU228" s="1"/>
  <c r="J296"/>
  <c r="AH268"/>
  <c r="AT268" s="1"/>
  <c r="J238"/>
  <c r="AH239"/>
  <c r="AT239" s="1"/>
  <c r="M207"/>
  <c r="W229"/>
  <c r="AI229"/>
  <c r="AU229" s="1"/>
  <c r="J276"/>
  <c r="K231" l="1"/>
  <c r="K232" s="1"/>
  <c r="AI230"/>
  <c r="AU230" s="1"/>
  <c r="W230"/>
  <c r="K135"/>
  <c r="K136" s="1"/>
  <c r="K137" s="1"/>
  <c r="J286"/>
  <c r="J285"/>
  <c r="J287"/>
  <c r="J253"/>
  <c r="AH238"/>
  <c r="V276"/>
  <c r="AH276"/>
  <c r="AT276" s="1"/>
  <c r="AI231" l="1"/>
  <c r="AU231" s="1"/>
  <c r="K298"/>
  <c r="W231"/>
  <c r="AT238"/>
  <c r="J279"/>
  <c r="J2" s="1"/>
  <c r="V253"/>
  <c r="V262"/>
  <c r="V247"/>
  <c r="V259"/>
  <c r="V242"/>
  <c r="V257"/>
  <c r="V275"/>
  <c r="V271"/>
  <c r="V263"/>
  <c r="V252"/>
  <c r="V248"/>
  <c r="V256"/>
  <c r="V250"/>
  <c r="V245"/>
  <c r="V246"/>
  <c r="V244"/>
  <c r="V258"/>
  <c r="V261"/>
  <c r="V243"/>
  <c r="V260"/>
  <c r="V272"/>
  <c r="V265"/>
  <c r="V264"/>
  <c r="V249"/>
  <c r="V241"/>
  <c r="V251"/>
  <c r="V274"/>
  <c r="K302"/>
  <c r="AH253"/>
  <c r="AT253" s="1"/>
  <c r="V273"/>
  <c r="V255"/>
  <c r="V254"/>
  <c r="V267"/>
  <c r="V270"/>
  <c r="V240"/>
  <c r="V269"/>
  <c r="V266"/>
  <c r="J297"/>
  <c r="V268"/>
  <c r="V239"/>
  <c r="K143"/>
  <c r="K147"/>
  <c r="K303"/>
  <c r="K273"/>
  <c r="W232"/>
  <c r="K233"/>
  <c r="AI232"/>
  <c r="K301"/>
  <c r="V238"/>
  <c r="L160" l="1"/>
  <c r="L162" s="1"/>
  <c r="L234"/>
  <c r="L274" s="1"/>
  <c r="AJ274" s="1"/>
  <c r="AI273"/>
  <c r="AU273" s="1"/>
  <c r="K255"/>
  <c r="K191"/>
  <c r="L187" s="1"/>
  <c r="AU232"/>
  <c r="K148"/>
  <c r="K159"/>
  <c r="K163" l="1"/>
  <c r="K270"/>
  <c r="L189"/>
  <c r="L150" s="1"/>
  <c r="L188"/>
  <c r="K254"/>
  <c r="AI255"/>
  <c r="AU255" s="1"/>
  <c r="K208"/>
  <c r="K267"/>
  <c r="AV274"/>
  <c r="K156"/>
  <c r="K164" l="1"/>
  <c r="K170" s="1"/>
  <c r="L209"/>
  <c r="K214"/>
  <c r="K216" s="1"/>
  <c r="L195" s="1"/>
  <c r="L213" s="1"/>
  <c r="L229" s="1"/>
  <c r="L292"/>
  <c r="AI254"/>
  <c r="AU254" s="1"/>
  <c r="L151"/>
  <c r="L152" s="1"/>
  <c r="L190"/>
  <c r="K269"/>
  <c r="AI270"/>
  <c r="AU270" s="1"/>
  <c r="K266"/>
  <c r="AI267"/>
  <c r="AU267" s="1"/>
  <c r="K240" l="1"/>
  <c r="AI240" s="1"/>
  <c r="AU240" s="1"/>
  <c r="L228"/>
  <c r="K171"/>
  <c r="K172" s="1"/>
  <c r="K173" s="1"/>
  <c r="K239" s="1"/>
  <c r="L167"/>
  <c r="L168" s="1"/>
  <c r="L169" s="1"/>
  <c r="K268"/>
  <c r="K276" s="1"/>
  <c r="AI266"/>
  <c r="AU266" s="1"/>
  <c r="L154"/>
  <c r="AI269"/>
  <c r="AU269" s="1"/>
  <c r="M209"/>
  <c r="L215"/>
  <c r="L153" s="1"/>
  <c r="L230" l="1"/>
  <c r="L231" s="1"/>
  <c r="L232" s="1"/>
  <c r="L155"/>
  <c r="X228"/>
  <c r="AJ228"/>
  <c r="AV228" s="1"/>
  <c r="AI276"/>
  <c r="AU276" s="1"/>
  <c r="X230"/>
  <c r="AJ230"/>
  <c r="K238"/>
  <c r="AI239"/>
  <c r="AU239" s="1"/>
  <c r="X229"/>
  <c r="AJ229"/>
  <c r="K296"/>
  <c r="AI268"/>
  <c r="AU268" s="1"/>
  <c r="AJ231" l="1"/>
  <c r="AV231" s="1"/>
  <c r="AV229"/>
  <c r="L303"/>
  <c r="X232"/>
  <c r="L233"/>
  <c r="M234" s="1"/>
  <c r="L273"/>
  <c r="AJ232"/>
  <c r="L301"/>
  <c r="K286"/>
  <c r="K253"/>
  <c r="K287"/>
  <c r="K285"/>
  <c r="AI238"/>
  <c r="AV230"/>
  <c r="L135"/>
  <c r="L136" s="1"/>
  <c r="L137" s="1"/>
  <c r="X231"/>
  <c r="L298"/>
  <c r="L143" l="1"/>
  <c r="L147"/>
  <c r="W238"/>
  <c r="W245"/>
  <c r="W246"/>
  <c r="W260"/>
  <c r="W261"/>
  <c r="W244"/>
  <c r="W242"/>
  <c r="W247"/>
  <c r="W271"/>
  <c r="W272"/>
  <c r="W263"/>
  <c r="W249"/>
  <c r="W241"/>
  <c r="W251"/>
  <c r="W274"/>
  <c r="L302"/>
  <c r="K279"/>
  <c r="K2" s="1"/>
  <c r="W253"/>
  <c r="W262"/>
  <c r="W243"/>
  <c r="W258"/>
  <c r="W257"/>
  <c r="W259"/>
  <c r="W275"/>
  <c r="W265"/>
  <c r="W264"/>
  <c r="W252"/>
  <c r="W248"/>
  <c r="W256"/>
  <c r="W250"/>
  <c r="AI253"/>
  <c r="AU253" s="1"/>
  <c r="W273"/>
  <c r="W255"/>
  <c r="W267"/>
  <c r="W254"/>
  <c r="W270"/>
  <c r="W266"/>
  <c r="W269"/>
  <c r="W240"/>
  <c r="W276"/>
  <c r="W268"/>
  <c r="W239"/>
  <c r="K297"/>
  <c r="AV232"/>
  <c r="M274"/>
  <c r="AK274" s="1"/>
  <c r="M160"/>
  <c r="M162" s="1"/>
  <c r="AU238"/>
  <c r="AJ273"/>
  <c r="L255" l="1"/>
  <c r="L191"/>
  <c r="M187" s="1"/>
  <c r="AV273"/>
  <c r="AW274"/>
  <c r="AX274" s="1"/>
  <c r="AL274"/>
  <c r="L148"/>
  <c r="L159"/>
  <c r="L210" l="1"/>
  <c r="L267"/>
  <c r="L163"/>
  <c r="L270"/>
  <c r="M188"/>
  <c r="M189"/>
  <c r="M150" s="1"/>
  <c r="L254"/>
  <c r="AJ255"/>
  <c r="L156"/>
  <c r="L164" l="1"/>
  <c r="L170" s="1"/>
  <c r="AV255"/>
  <c r="M151"/>
  <c r="M152" s="1"/>
  <c r="M190"/>
  <c r="L240"/>
  <c r="AJ240" s="1"/>
  <c r="AV240" s="1"/>
  <c r="L214"/>
  <c r="L216" s="1"/>
  <c r="M195" s="1"/>
  <c r="M213" s="1"/>
  <c r="M229" s="1"/>
  <c r="M211"/>
  <c r="M215" s="1"/>
  <c r="M153" s="1"/>
  <c r="M292"/>
  <c r="N292" s="1"/>
  <c r="AJ254"/>
  <c r="L269"/>
  <c r="AJ270"/>
  <c r="L266"/>
  <c r="AJ267"/>
  <c r="M167" l="1"/>
  <c r="M168" s="1"/>
  <c r="M169" s="1"/>
  <c r="M228"/>
  <c r="Y228" s="1"/>
  <c r="Z228" s="1"/>
  <c r="L171"/>
  <c r="L172" s="1"/>
  <c r="L173" s="1"/>
  <c r="L268"/>
  <c r="AJ266"/>
  <c r="AV254"/>
  <c r="L239"/>
  <c r="AV267"/>
  <c r="AV270"/>
  <c r="L276"/>
  <c r="AJ269"/>
  <c r="M154"/>
  <c r="M155" s="1"/>
  <c r="AK228" l="1"/>
  <c r="AL228" s="1"/>
  <c r="M230"/>
  <c r="M231"/>
  <c r="AK231" s="1"/>
  <c r="AL231" s="1"/>
  <c r="Y230"/>
  <c r="Z230" s="1"/>
  <c r="AK230"/>
  <c r="AJ276"/>
  <c r="AV266"/>
  <c r="Y229"/>
  <c r="Z229" s="1"/>
  <c r="AK229"/>
  <c r="AV269"/>
  <c r="L238"/>
  <c r="AJ239"/>
  <c r="L296"/>
  <c r="AJ268"/>
  <c r="AW228" l="1"/>
  <c r="AX228" s="1"/>
  <c r="AW231"/>
  <c r="AX231" s="1"/>
  <c r="M232"/>
  <c r="M233" s="1"/>
  <c r="AV268"/>
  <c r="AW229"/>
  <c r="AL229"/>
  <c r="Y232"/>
  <c r="Z232" s="1"/>
  <c r="M303"/>
  <c r="N303" s="1"/>
  <c r="M273"/>
  <c r="AK232"/>
  <c r="M301"/>
  <c r="N301" s="1"/>
  <c r="AV239"/>
  <c r="L287"/>
  <c r="L285"/>
  <c r="L286"/>
  <c r="L253"/>
  <c r="X238" s="1"/>
  <c r="AJ238"/>
  <c r="AV276"/>
  <c r="AW230"/>
  <c r="AX230" s="1"/>
  <c r="AL230"/>
  <c r="Y231"/>
  <c r="Z231" s="1"/>
  <c r="M298"/>
  <c r="N298" s="1"/>
  <c r="M135"/>
  <c r="M136" s="1"/>
  <c r="M137" s="1"/>
  <c r="AW232" l="1"/>
  <c r="AX232" s="1"/>
  <c r="AL232"/>
  <c r="AX229"/>
  <c r="M143"/>
  <c r="M147"/>
  <c r="AV238"/>
  <c r="L279"/>
  <c r="L2" s="1"/>
  <c r="X253"/>
  <c r="X262"/>
  <c r="X243"/>
  <c r="X247"/>
  <c r="X244"/>
  <c r="X259"/>
  <c r="X265"/>
  <c r="X271"/>
  <c r="X264"/>
  <c r="X252"/>
  <c r="X248"/>
  <c r="X256"/>
  <c r="X250"/>
  <c r="X245"/>
  <c r="X246"/>
  <c r="X258"/>
  <c r="X260"/>
  <c r="X242"/>
  <c r="X261"/>
  <c r="X257"/>
  <c r="X275"/>
  <c r="X272"/>
  <c r="X263"/>
  <c r="X249"/>
  <c r="X241"/>
  <c r="X251"/>
  <c r="X274"/>
  <c r="M302"/>
  <c r="N302" s="1"/>
  <c r="AJ253"/>
  <c r="X273"/>
  <c r="X255"/>
  <c r="X267"/>
  <c r="X254"/>
  <c r="X270"/>
  <c r="X269"/>
  <c r="X240"/>
  <c r="X266"/>
  <c r="X239"/>
  <c r="L297"/>
  <c r="X276"/>
  <c r="X268"/>
  <c r="AK273"/>
  <c r="AW273" l="1"/>
  <c r="AX273" s="1"/>
  <c r="AL273"/>
  <c r="AV253"/>
  <c r="M148"/>
  <c r="M159"/>
  <c r="M255"/>
  <c r="M191"/>
  <c r="M212" l="1"/>
  <c r="M214" s="1"/>
  <c r="M216" s="1"/>
  <c r="M267"/>
  <c r="M254"/>
  <c r="AK255"/>
  <c r="M163"/>
  <c r="M270"/>
  <c r="M156"/>
  <c r="AW255" l="1"/>
  <c r="AX255" s="1"/>
  <c r="AL255"/>
  <c r="M266"/>
  <c r="AK267"/>
  <c r="M269"/>
  <c r="AK270"/>
  <c r="AK254"/>
  <c r="M164"/>
  <c r="M170" s="1"/>
  <c r="AW254" l="1"/>
  <c r="AX254" s="1"/>
  <c r="AL254"/>
  <c r="AW270"/>
  <c r="AX270" s="1"/>
  <c r="AL270"/>
  <c r="AK269"/>
  <c r="M240"/>
  <c r="M171"/>
  <c r="M172" s="1"/>
  <c r="M173" s="1"/>
  <c r="M239" s="1"/>
  <c r="AW267"/>
  <c r="AX267" s="1"/>
  <c r="AL267"/>
  <c r="M268"/>
  <c r="M276" s="1"/>
  <c r="AK266"/>
  <c r="AK276" l="1"/>
  <c r="AW266"/>
  <c r="AX266" s="1"/>
  <c r="AL266"/>
  <c r="AK240"/>
  <c r="M238"/>
  <c r="AK239"/>
  <c r="AW269"/>
  <c r="AX269" s="1"/>
  <c r="AL269"/>
  <c r="M296"/>
  <c r="N296" s="1"/>
  <c r="AK268"/>
  <c r="AW240" l="1"/>
  <c r="AX240" s="1"/>
  <c r="AL240"/>
  <c r="AW276"/>
  <c r="AX276" s="1"/>
  <c r="AL276"/>
  <c r="AW268"/>
  <c r="AX268" s="1"/>
  <c r="AL268"/>
  <c r="AW239"/>
  <c r="AX239" s="1"/>
  <c r="AL239"/>
  <c r="M287"/>
  <c r="N287" s="1"/>
  <c r="M285"/>
  <c r="N285" s="1"/>
  <c r="M253"/>
  <c r="M286"/>
  <c r="N286" s="1"/>
  <c r="AK238"/>
  <c r="AW238" l="1"/>
  <c r="AL238"/>
  <c r="Y238"/>
  <c r="Z238" s="1"/>
  <c r="Y245"/>
  <c r="Z245" s="1"/>
  <c r="Y246"/>
  <c r="Z246" s="1"/>
  <c r="Y259"/>
  <c r="Z259" s="1"/>
  <c r="Y247"/>
  <c r="Z247" s="1"/>
  <c r="Y258"/>
  <c r="Z258" s="1"/>
  <c r="Y257"/>
  <c r="Z257" s="1"/>
  <c r="Y242"/>
  <c r="Z242" s="1"/>
  <c r="Y272"/>
  <c r="Z272" s="1"/>
  <c r="Y275"/>
  <c r="Z275" s="1"/>
  <c r="Y264"/>
  <c r="Z264" s="1"/>
  <c r="Y249"/>
  <c r="Z249" s="1"/>
  <c r="Y241"/>
  <c r="Z241" s="1"/>
  <c r="Y251"/>
  <c r="Z251" s="1"/>
  <c r="Y274"/>
  <c r="Z274" s="1"/>
  <c r="Y243"/>
  <c r="Z243" s="1"/>
  <c r="Y265"/>
  <c r="Z265" s="1"/>
  <c r="Y271"/>
  <c r="Z271" s="1"/>
  <c r="Y252"/>
  <c r="Z252" s="1"/>
  <c r="Y248"/>
  <c r="Z248" s="1"/>
  <c r="Y256"/>
  <c r="Z256" s="1"/>
  <c r="M279"/>
  <c r="M2" s="1"/>
  <c r="Y253"/>
  <c r="Z253" s="1"/>
  <c r="Y262"/>
  <c r="Z262" s="1"/>
  <c r="Y244"/>
  <c r="Z244" s="1"/>
  <c r="Y260"/>
  <c r="Z260" s="1"/>
  <c r="Y261"/>
  <c r="Z261" s="1"/>
  <c r="Y263"/>
  <c r="Z263" s="1"/>
  <c r="Y250"/>
  <c r="Z250" s="1"/>
  <c r="Y273"/>
  <c r="Z273" s="1"/>
  <c r="AK253"/>
  <c r="Y255"/>
  <c r="Z255" s="1"/>
  <c r="Y270"/>
  <c r="Z270" s="1"/>
  <c r="Y254"/>
  <c r="Z254" s="1"/>
  <c r="Y267"/>
  <c r="Z267" s="1"/>
  <c r="Y266"/>
  <c r="Z266" s="1"/>
  <c r="Y269"/>
  <c r="Z269" s="1"/>
  <c r="Y276"/>
  <c r="Z276" s="1"/>
  <c r="Y240"/>
  <c r="Z240" s="1"/>
  <c r="Y268"/>
  <c r="Z268" s="1"/>
  <c r="Y239"/>
  <c r="Z239" s="1"/>
  <c r="M297"/>
  <c r="N297" s="1"/>
  <c r="AW253" l="1"/>
  <c r="AX253" s="1"/>
  <c r="AL253"/>
  <c r="AX238"/>
</calcChain>
</file>

<file path=xl/comments1.xml><?xml version="1.0" encoding="utf-8"?>
<comments xmlns="http://schemas.openxmlformats.org/spreadsheetml/2006/main">
  <authors>
    <author>Juan Duque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Juan Duque:
se encontro</t>
        </r>
        <r>
          <rPr>
            <sz val="9"/>
            <color indexed="81"/>
            <rFont val="Tahoma"/>
            <family val="2"/>
          </rPr>
          <t xml:space="preserve">
www.banrep.gov.co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info. En el banco. republica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inflacion proyectada proyectada entre Bvc colombia y FMI.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promedio menos años ya que los otros distorcionan mi % variacion de precio de venta real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se multiplica el valor de las cesantias por el año que vendria siendo los 12 meses y por 1,12 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crecimiento del los obligaciones laborales con inflacion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obligaciones laborales en el año 2009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estos valores los tome del la hoja antonio araujo, donde aparecen mis compras
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no promedio todos los años ya que si lo hago se me distorciona, tome los años donde crecia noormalment los g admon y ventas
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esto lo hize para poder estimar las obligaciones laborales del 2008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info. En el banco. republica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inflacion proyectada proyectada entre Bvc colombia y FMI.
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intereses de cesantias
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pestaciones sociales y parafiscales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pestaciones sociales y parafiscales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tuve en cuenta en el promedio los años q tenian depreciacion para abajo, omiti 2001, 2002, 2003, pq podian corromper con mi dato
</t>
        </r>
      </text>
    </comment>
  </commentList>
</comments>
</file>

<file path=xl/comments2.xml><?xml version="1.0" encoding="utf-8"?>
<comments xmlns="http://schemas.openxmlformats.org/spreadsheetml/2006/main">
  <authors>
    <author>Juan Duque</author>
    <author>DBG2008</author>
  </authors>
  <commentList>
    <comment ref="M123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tome el % de dividendo del ultimo año, ya que si hago el promedio de todo me daria un absurdo.</t>
        </r>
      </text>
    </comment>
    <comment ref="A142" authorId="1">
      <text>
        <r>
          <rPr>
            <b/>
            <sz val="8"/>
            <color indexed="81"/>
            <rFont val="Tahoma"/>
            <family val="2"/>
          </rPr>
          <t xml:space="preserve">G y A:
</t>
        </r>
        <r>
          <rPr>
            <sz val="8"/>
            <color indexed="81"/>
            <rFont val="Tahoma"/>
            <family val="2"/>
          </rPr>
          <t xml:space="preserve">Los dividendos son anuales por lo que la politica se hace sobre este horizonte temporal.
</t>
        </r>
      </text>
    </comment>
  </commentList>
</comments>
</file>

<file path=xl/comments3.xml><?xml version="1.0" encoding="utf-8"?>
<comments xmlns="http://schemas.openxmlformats.org/spreadsheetml/2006/main">
  <authors>
    <author>Juan Duque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utilize una linea de depreciacion de 5 años ya que la mayoria de mis activos se deprecian en este determinado tiempo.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la empresa no presernta prestamos a largo plazo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Juan Duque:</t>
        </r>
        <r>
          <rPr>
            <sz val="9"/>
            <color indexed="81"/>
            <rFont val="Tahoma"/>
            <family val="2"/>
          </rPr>
          <t xml:space="preserve">
porcentaje ideal
</t>
        </r>
      </text>
    </comment>
  </commentList>
</comments>
</file>

<file path=xl/sharedStrings.xml><?xml version="1.0" encoding="utf-8"?>
<sst xmlns="http://schemas.openxmlformats.org/spreadsheetml/2006/main" count="3870" uniqueCount="1286">
  <si>
    <t>1105 Caja</t>
  </si>
  <si>
    <t>1110 Bancos</t>
  </si>
  <si>
    <t>1120 Cuentas de Ahorro</t>
  </si>
  <si>
    <t>11 SUBTOTAL DISPONIBLE</t>
  </si>
  <si>
    <t>12 INVERSIONES CP</t>
  </si>
  <si>
    <t>1305 Clientes</t>
  </si>
  <si>
    <t>1310 Cuentas Corrientes Comerciales</t>
  </si>
  <si>
    <t>1325 Cuentas por Cobrar a Socios y Accionistas</t>
  </si>
  <si>
    <t>1330 Anticipos y Avances</t>
  </si>
  <si>
    <t>1335 Depositos</t>
  </si>
  <si>
    <t>1355 Antic Imptos y Contrib o Saldos a Favor</t>
  </si>
  <si>
    <t>1360 Reclamaciones (CP)</t>
  </si>
  <si>
    <t>1365 Cuentas x Cobrar a Trabajadores (CP)</t>
  </si>
  <si>
    <t>1380 Deudores Varios (CP)</t>
  </si>
  <si>
    <t>1399 Provisiones (CP)</t>
  </si>
  <si>
    <t>13 SUBTOTAL DEUDORES CORTO PLAZO</t>
  </si>
  <si>
    <t>1435 Mcias no Fabricadas x la Empresa</t>
  </si>
  <si>
    <t>1455 Materiales Repuestos y Accesorios</t>
  </si>
  <si>
    <t>14 SUBTOTAL INVENTARIOS</t>
  </si>
  <si>
    <t>1705 Gastos Pagados x Anticipado CP</t>
  </si>
  <si>
    <t>1710 Cargos Diferidos CP</t>
  </si>
  <si>
    <t>17 SUBTOTAL DIFERIDO</t>
  </si>
  <si>
    <t>0 TOTAL ACTIVO CORRIENTE</t>
  </si>
  <si>
    <t>15 PROPIEDADES PLANTA Y EQUIPO NETO</t>
  </si>
  <si>
    <t>1705 Gastos Pagados x Anticipado LP</t>
  </si>
  <si>
    <t>17 SUBTOTAL DIFERIDOS</t>
  </si>
  <si>
    <t>0 TOTAL ACTIVO NO CORRIENTE</t>
  </si>
  <si>
    <t>0 TOTAL ACTIVO</t>
  </si>
  <si>
    <t>21 OBLIGACIONES FINANCIERAS (CP)</t>
  </si>
  <si>
    <t>22 PROVEEDORES</t>
  </si>
  <si>
    <t>2355 Deudas con Accionistas o Socios (CP)</t>
  </si>
  <si>
    <t>2365 Retencion en la Fuente</t>
  </si>
  <si>
    <t>2367 Impuesto a las Ventas Retenido</t>
  </si>
  <si>
    <t>2368 Impuesto de Industria y Comercio Retenido</t>
  </si>
  <si>
    <t>2370 Retenciones y Aportes de Nomina</t>
  </si>
  <si>
    <t>2380 Acreedores Varios (CP)</t>
  </si>
  <si>
    <t>23 SUBTOTAL CUENTAS POR PAGAR CORTO PLAZO</t>
  </si>
  <si>
    <t>24 IMPUESTOS GRAVAMENES Y TASAS</t>
  </si>
  <si>
    <t>25 OBLIGACIONES LABORALES CORTO PLAZO</t>
  </si>
  <si>
    <t>2605 Para Costos y Gastos</t>
  </si>
  <si>
    <t>2610 Para Obligaciones Laborales</t>
  </si>
  <si>
    <t>26 SUBTOTAL PASIVOS ESTIMADOS Y PROVISIONES</t>
  </si>
  <si>
    <t>27 DIFERIDOS CORTO PLAZO</t>
  </si>
  <si>
    <t>2805 Anticipos y Avances Recibidos (CP)</t>
  </si>
  <si>
    <t>28 SUBTOTAL OTROS PASIVOS CORTO PLAZO</t>
  </si>
  <si>
    <t>0 TOTAL PASIVO CORRIENTE</t>
  </si>
  <si>
    <t>24 IMPUESTOS GRAVAMENES Y TASAS (LP)</t>
  </si>
  <si>
    <t>25 OBLIGACIONES LABORALES LARGO PLAZO</t>
  </si>
  <si>
    <t>2610 Para Obligaciones Laborales (LP)</t>
  </si>
  <si>
    <t>26 SUBTOTAL PASIVOS ESTIMADOS Y PROVISIONES (LP)</t>
  </si>
  <si>
    <t>2705 Ingresos Recibidos x Anticipado (LP)</t>
  </si>
  <si>
    <t>27 SUBTOTAL DIFERIDOS LARGO PLAZO</t>
  </si>
  <si>
    <t>2805 Avances y Anticipos Recibidos (LP)</t>
  </si>
  <si>
    <t>28 SUBTOTAL OTROS PASIVOS LARGO PLAZO</t>
  </si>
  <si>
    <t>0 TOTAL PASIVO NO CORRIENTE</t>
  </si>
  <si>
    <t>0 TOTAL PASIVO</t>
  </si>
  <si>
    <t>3105 Capital Suscrito y Pagado</t>
  </si>
  <si>
    <t>31 SUBTOTAL CAPITAL SOCIAL</t>
  </si>
  <si>
    <t>3205 Prima en coloc. acc cuotas o partes de int. s</t>
  </si>
  <si>
    <t>32 SUBTOTAL SUPERAVIT DE CAPITAL</t>
  </si>
  <si>
    <t>33 RESERVAS</t>
  </si>
  <si>
    <t>34 REVALORIZACION DEL PATRIMONIO</t>
  </si>
  <si>
    <t>36 RESULTADOS DEL EJERCICIO</t>
  </si>
  <si>
    <t>3710 PERDIDAS ACUMULADAS</t>
  </si>
  <si>
    <t>37 RESULTADOS DE EJERCICIOS ANTERIORES</t>
  </si>
  <si>
    <t>0 TOTAL PATRIMONIO</t>
  </si>
  <si>
    <t>0 TOTAL PASIVO Y PATRIMONIO</t>
  </si>
  <si>
    <t>41 Ingresos Operacionales</t>
  </si>
  <si>
    <t>61 MENOS: Costos De Ventas y De Prestacion De Servicios</t>
  </si>
  <si>
    <t>UTILIDAD BRUTA</t>
  </si>
  <si>
    <t>51 MENOS: Gastos Operacionales De Administración</t>
  </si>
  <si>
    <t>52 MENOS: Gastos Operacionales De Ventas</t>
  </si>
  <si>
    <t>UTILIDAD OPERACIONAL</t>
  </si>
  <si>
    <t>42 MAS: Ingresos No Operacionales</t>
  </si>
  <si>
    <t>53 MENOS: Gastos No Operacionales</t>
  </si>
  <si>
    <t>UTILIDAD ANTES DE IMPUESTOS Y AJUSTE POR INFLACION</t>
  </si>
  <si>
    <t>47 Ajustes Por Inflacion</t>
  </si>
  <si>
    <t>54 MENOS: Impuestos De Renta y Complementarios</t>
  </si>
  <si>
    <t>59 GANANCIAS Y PERDIDAS</t>
  </si>
  <si>
    <t>ANALISIS DEL SECTOR MANUFACTURERO</t>
  </si>
  <si>
    <t>Cuenta/Año</t>
  </si>
  <si>
    <t>PROMEDIO</t>
  </si>
  <si>
    <t>BALANCE GENERAL</t>
  </si>
  <si>
    <t>ESTADO DE RESULTADOS</t>
  </si>
  <si>
    <t>1115 Remesas en Transito</t>
  </si>
  <si>
    <t>1125 Fondos</t>
  </si>
  <si>
    <t>1315 Cuentas por Cobrar a Casa Matriz</t>
  </si>
  <si>
    <t>1320 Cuentas por Cobrar a Vincu. Economicos</t>
  </si>
  <si>
    <t>1323 Cuentas por Cobrar a Directores CP</t>
  </si>
  <si>
    <t>1328 Aportes por Cobrar</t>
  </si>
  <si>
    <t>1332 Ctas de Operacion Conjunta</t>
  </si>
  <si>
    <t>1340 Promesas de Compraventa</t>
  </si>
  <si>
    <t>1345 Ingresos por Cobrar CP</t>
  </si>
  <si>
    <t>1350 Retencion Sobre Contratos (CP)</t>
  </si>
  <si>
    <t>1370 Prestamos a Particulares CP</t>
  </si>
  <si>
    <t>1385 Derechos Recompra Cartera Negociada (CP)</t>
  </si>
  <si>
    <t>1390 Deudas de Dificil Cobro (CP)</t>
  </si>
  <si>
    <t>1405 Materias Primas</t>
  </si>
  <si>
    <t>1410 Productos en Proceso</t>
  </si>
  <si>
    <t>1415 Obras de Construc en Curso</t>
  </si>
  <si>
    <t>1417 Obras de Urbanismo</t>
  </si>
  <si>
    <t>1420 Contratos en Ejecucion</t>
  </si>
  <si>
    <t>1425 Cultivos en Desarrollo</t>
  </si>
  <si>
    <t>1428 Plantaciones Agricolas</t>
  </si>
  <si>
    <t>1430 Productos Terminados</t>
  </si>
  <si>
    <t>1440 Bienes Raices para la Venta</t>
  </si>
  <si>
    <t>1445 Semovientes</t>
  </si>
  <si>
    <t>1450 Terrenos</t>
  </si>
  <si>
    <t>1460 Envases y Empaques</t>
  </si>
  <si>
    <t>1465 Inventarios en Transito</t>
  </si>
  <si>
    <t>1499 Provisiones</t>
  </si>
  <si>
    <t>1715 Costos de Exploracion x Amortizar CP</t>
  </si>
  <si>
    <t>1720 Costos de Explotacion y Desarrollo CP</t>
  </si>
  <si>
    <t>1730 Cargos por Correc. Monet. Diferida CP</t>
  </si>
  <si>
    <t>1798 Amortizacion Acumulada CP</t>
  </si>
  <si>
    <t>12 INVERSIONES LP</t>
  </si>
  <si>
    <t>1305 Clientes (LP)</t>
  </si>
  <si>
    <t>1310 Cuentas Corrientes Comerciales (LP)</t>
  </si>
  <si>
    <t>1315 Cuentas x Cobrar a Casa Matriz (LP)</t>
  </si>
  <si>
    <t>1320 Cuentas por cobrar a Vinculados Economicos</t>
  </si>
  <si>
    <t>1323 Cuentas por Cobrar a Directores LP</t>
  </si>
  <si>
    <t>1325 Cuentas x Cobrar a Socios y Accionistas (LP)</t>
  </si>
  <si>
    <t>1330 Anticipos y Avances (LP)</t>
  </si>
  <si>
    <t>1332 Cuentas de Operacion Conjunta</t>
  </si>
  <si>
    <t>1335 Depositos (LP)</t>
  </si>
  <si>
    <t>1340 Promesa de Compraventa (LP)</t>
  </si>
  <si>
    <t>1345 Ingresos por Cobrar LP</t>
  </si>
  <si>
    <t>1355 Anticipo de Imptos. y contrib. o saldos a fav</t>
  </si>
  <si>
    <t>1360 Reclamaciones (LP)</t>
  </si>
  <si>
    <t>1365 Cuentas por Cobrar a Trabajadores (LP)</t>
  </si>
  <si>
    <t>1370 Prestamos a Particulares LP</t>
  </si>
  <si>
    <t>1380 Deudores Varios (LP)</t>
  </si>
  <si>
    <t>1390 Deudas de Dificil Cobro (LP)</t>
  </si>
  <si>
    <t>1399 Provisiones (LP)</t>
  </si>
  <si>
    <t>13 SUBTOTAL DEUDORES LARGO PLAZO</t>
  </si>
  <si>
    <t>1605 Credito Mercantil</t>
  </si>
  <si>
    <t>1610 Marcas</t>
  </si>
  <si>
    <t>1615 Patentes</t>
  </si>
  <si>
    <t>1620 Concesiones y franquicias</t>
  </si>
  <si>
    <t>1625 Derechos</t>
  </si>
  <si>
    <t>1630 Know How</t>
  </si>
  <si>
    <t>1635 Licencias</t>
  </si>
  <si>
    <t>1698 Amortizacion Acumulada</t>
  </si>
  <si>
    <t>1699 Provisiones</t>
  </si>
  <si>
    <t>16 SUBTOTAL INTANGIBLES</t>
  </si>
  <si>
    <t>1710 Cargos Diferidos LP</t>
  </si>
  <si>
    <t>1715 Costos de Exploracion x Amortizar LP</t>
  </si>
  <si>
    <t>1730 Cargos por Correc. Monet. Diferida LP</t>
  </si>
  <si>
    <t>1798 Amortizacion Acumulada LP</t>
  </si>
  <si>
    <t>1805 Bienes de Arte y Cultura</t>
  </si>
  <si>
    <t>1895 Diversos</t>
  </si>
  <si>
    <t>1899 Provisiones</t>
  </si>
  <si>
    <t>18 SUBTOTAL OTROS ACTIVOS</t>
  </si>
  <si>
    <t>1905 De Inversiones</t>
  </si>
  <si>
    <t>1910 De Propiedades Planta y Equipo</t>
  </si>
  <si>
    <t>1995 De Otros Activos</t>
  </si>
  <si>
    <t>19 SUBTOTAL VALORIZACIONES</t>
  </si>
  <si>
    <t>81 Derechos Contingentes</t>
  </si>
  <si>
    <t>82 Deudoras Fiscales</t>
  </si>
  <si>
    <t>83 Deudoras de Control</t>
  </si>
  <si>
    <t>9 Cuentas de Orden Acreedores por Contra</t>
  </si>
  <si>
    <t>2305 Cuentas Corrientes Comerciales (CP)</t>
  </si>
  <si>
    <t>2310 A Casa Matriz (CP)</t>
  </si>
  <si>
    <t>2315 A companias vinculadas (CP)</t>
  </si>
  <si>
    <t>2320 A Contratistas (CP)</t>
  </si>
  <si>
    <t>2330 Ordenes de Compra x Utilizar</t>
  </si>
  <si>
    <t>2335 Costos y Gastos x Pagar CP</t>
  </si>
  <si>
    <t>2340 Instalamentos x Pagar</t>
  </si>
  <si>
    <t>2345 Acreedores Oficiales (CP)</t>
  </si>
  <si>
    <t>2350 Regalias x Pagar CP</t>
  </si>
  <si>
    <t>2357 Deudas con Directores</t>
  </si>
  <si>
    <t>2360 Dividendos o Partic. x Pagar</t>
  </si>
  <si>
    <t>2375 Cuotas x Devolver</t>
  </si>
  <si>
    <t>2615 Para Obligaciones Fiscales</t>
  </si>
  <si>
    <t>2620 Pensiones de Jubilacion</t>
  </si>
  <si>
    <t>2625 Para Obras de Urbanismo</t>
  </si>
  <si>
    <t>2630 Para Mantenimiento y Reparaciones</t>
  </si>
  <si>
    <t>2635 Para Contingencias</t>
  </si>
  <si>
    <t>2640 Para Obligaciones de Garantias</t>
  </si>
  <si>
    <t>2695 Provisiones Diversas</t>
  </si>
  <si>
    <t>2810 Depositos Recibidos (CP)</t>
  </si>
  <si>
    <t>2815 Ingresos Recibidos para Terceros (CP)</t>
  </si>
  <si>
    <t>2820 Cuentas de Operacion Conjunta CP</t>
  </si>
  <si>
    <t>2825 Retencion a Terceros sobre Contratos (CP)</t>
  </si>
  <si>
    <t>2830 Embargos Judiciales</t>
  </si>
  <si>
    <t>2835 Acreedores del Sistema</t>
  </si>
  <si>
    <t>2840 Cuentas en Participacion</t>
  </si>
  <si>
    <t>2895 Diversos (CP)</t>
  </si>
  <si>
    <t>2905 Bonos en Circulacion</t>
  </si>
  <si>
    <t>2910 Bonos Obligatoriamente Convertibles en Accion</t>
  </si>
  <si>
    <t>2915 Papeles Comerciales</t>
  </si>
  <si>
    <t>2925 Titulos Pensionales</t>
  </si>
  <si>
    <t>29 SUBTOTAL BONOS Y PAPALES COMERCIALES</t>
  </si>
  <si>
    <t>21 OBLIGACIONES FINANCIERAS (LP)</t>
  </si>
  <si>
    <t>22 PROVEEDORES (LP)</t>
  </si>
  <si>
    <t>2305 Cuentas Corrientes Comerciales (LP)</t>
  </si>
  <si>
    <t>2310 A Casa Matriz (LP)</t>
  </si>
  <si>
    <t>2315 A Companias Vinculadas (LP)</t>
  </si>
  <si>
    <t>2335 Costos y Gastos x Pagar LP</t>
  </si>
  <si>
    <t>2345 Acreedores Oficiales (LP)</t>
  </si>
  <si>
    <t>2355 Deudas con Accionistas o Socios (LP)</t>
  </si>
  <si>
    <t>2357 Deudas con Directores (LP)</t>
  </si>
  <si>
    <t>2360 Dividendos o Partic. x Pagar (LP)</t>
  </si>
  <si>
    <t>2380 Acreedores Varios (LP)</t>
  </si>
  <si>
    <t>23 SUBTOTAL CUENTAS POR PAGAR LARGO PLAZO</t>
  </si>
  <si>
    <t>2605 Para Costos y Gastos (LP)</t>
  </si>
  <si>
    <t>2615 Para Obligaciones Fiscales (LP)</t>
  </si>
  <si>
    <t>2620 Pensiones de Jubilacion (LP)</t>
  </si>
  <si>
    <t>2635 Para Contingencias (LP)</t>
  </si>
  <si>
    <t>2640 Para Obligaciones de Garantias (LP)</t>
  </si>
  <si>
    <t>2695 Provisiones Diversas (LP)</t>
  </si>
  <si>
    <t>2710 Abonos Diferidos (LP)</t>
  </si>
  <si>
    <t>2715 Utilidad Diferida en Vtas a Plazos (LP)</t>
  </si>
  <si>
    <t>2720 Credito x Correc. Monetaria Diferida (LP)</t>
  </si>
  <si>
    <t>2725 Impuestos Diferidos (LP)</t>
  </si>
  <si>
    <t>2810 Depositos Recibidos (LP)</t>
  </si>
  <si>
    <t>2815 Ingresos Recibidos para Terceros (LP)</t>
  </si>
  <si>
    <t>2820 Cuentas de Operacion Conjunta LP</t>
  </si>
  <si>
    <t>2825 Retencion a Terceros sobre Contratos (LP)</t>
  </si>
  <si>
    <t>2840 Cuentas en Participacion (LP)</t>
  </si>
  <si>
    <t>2895 Diversos (LP)</t>
  </si>
  <si>
    <t>2905 Bonos en Circulacion (LP)</t>
  </si>
  <si>
    <t>2910 Bonos Obligatoriamente Convertib. Accion (LP)</t>
  </si>
  <si>
    <t>2915 Papeles Comerciales (LP)</t>
  </si>
  <si>
    <t>2920 Bonos Pensionales (LP)</t>
  </si>
  <si>
    <t>2925 Titulos Pensionales (LP)</t>
  </si>
  <si>
    <t>29 SUBTOTAL BONOS Y PAPELES COMERCIALES (LP)</t>
  </si>
  <si>
    <t>3115 Aportes Sociales</t>
  </si>
  <si>
    <t>3120 Capital Asignado</t>
  </si>
  <si>
    <t>3125 Inv Suplemen al Capital Asignado</t>
  </si>
  <si>
    <t>3130 Capital de Personas Naturales</t>
  </si>
  <si>
    <t>3140 Fondo Social</t>
  </si>
  <si>
    <t>3210 Donaciones</t>
  </si>
  <si>
    <t>3215 Credito Mercantil</t>
  </si>
  <si>
    <t>3220 Know How</t>
  </si>
  <si>
    <t>3225 Superavit Metodo e Participacion</t>
  </si>
  <si>
    <t>35 DIVIDEN O PARTC.DECRETADAS EN ACC.O CUOTAS</t>
  </si>
  <si>
    <t>3705 UTILIDADES ACUMULADAS</t>
  </si>
  <si>
    <t>38 SUPERAVIT POR VALORIZACIONES</t>
  </si>
  <si>
    <t>RAZONES FINANCIERAS</t>
  </si>
  <si>
    <t>RAZONES DE LIQUIDEZ</t>
  </si>
  <si>
    <t>RAZÓN CORRIENTE</t>
  </si>
  <si>
    <t>RAZON O PRUEBA ACIDA</t>
  </si>
  <si>
    <t>CAPITAL DE TRABAJO</t>
  </si>
  <si>
    <t>RAZONES DE ACTIVIDAD</t>
  </si>
  <si>
    <t xml:space="preserve">Rotación de cartera </t>
  </si>
  <si>
    <t xml:space="preserve">Rotación de inventarios(dias) </t>
  </si>
  <si>
    <t>Promedio pago a proveedores(dias)</t>
  </si>
  <si>
    <t>Rotación de activos totales</t>
  </si>
  <si>
    <t>Rotación de activos fijos</t>
  </si>
  <si>
    <t>Ciclo de caja</t>
  </si>
  <si>
    <t>RAZONES DE ENDEUDAMIENTO</t>
  </si>
  <si>
    <t>estructura de capital</t>
  </si>
  <si>
    <t>endeudamiento</t>
  </si>
  <si>
    <t>veces que se gana los intereses pagados</t>
  </si>
  <si>
    <t>cobertura para gastos fijos</t>
  </si>
  <si>
    <t>RAZONES DE RENTABILIDAD</t>
  </si>
  <si>
    <t>rendimiento neto sobre patrimonio</t>
  </si>
  <si>
    <t>rendimiento neto sobre activos totales</t>
  </si>
  <si>
    <t>margen neto</t>
  </si>
  <si>
    <t>margen operativo</t>
  </si>
  <si>
    <t>ANALISIS DEL SECTOR COMERCIAL</t>
  </si>
  <si>
    <t>ANALISIS VERTICAL</t>
  </si>
  <si>
    <t>ANALISIS HORIZONTAL</t>
  </si>
  <si>
    <t>INFLACION EN COLOMBIA</t>
  </si>
  <si>
    <t>inflacion anual</t>
  </si>
  <si>
    <t xml:space="preserve"> CRECIMIENTO REAL- BALANCE</t>
  </si>
  <si>
    <t xml:space="preserve"> CRECIMIENTO REAL- E.R</t>
  </si>
  <si>
    <t>CRECIMIENTO REAL- BALANCE</t>
  </si>
  <si>
    <t>CRECIMIENTO REAL- E.R</t>
  </si>
  <si>
    <t>CRECIMIENTO REAL</t>
  </si>
  <si>
    <t>Compras (Costo de ventas + inv final - inv inicial)</t>
  </si>
  <si>
    <t>CALCULO DE COMPRAS</t>
  </si>
  <si>
    <t>INVERSIONES ACTIVOS FIJOS</t>
  </si>
  <si>
    <t>Disponible como % de los ingresos operacionales</t>
  </si>
  <si>
    <t>Clientes como % de los ingresos operacionales</t>
  </si>
  <si>
    <t>Otros deudores como % de los ingresos operacionales</t>
  </si>
  <si>
    <t>Inventario final como % de costo de ventas</t>
  </si>
  <si>
    <t xml:space="preserve">Costo de venta como % de los ingresos operacionales (1 - margen contribucion) </t>
  </si>
  <si>
    <t>Diferidos CP (gastos pag x anticip) como % de gastos de admon y ventas t+1</t>
  </si>
  <si>
    <t>Diferidos LP (gastos pag x anticip) como % de gastos de admon y ventas t+1</t>
  </si>
  <si>
    <t>Proveedores como % de las compras</t>
  </si>
  <si>
    <t>Impuestos gravamenes como % de los ingresos operacionales</t>
  </si>
  <si>
    <t>Pasivos diferidos corto plazo como % de ingresos operacionales t+1</t>
  </si>
  <si>
    <t>Pasivos diferidos largo plazo como % de ingresos operacionales t+1</t>
  </si>
  <si>
    <t>Otos pasivos como % de total de gastos</t>
  </si>
  <si>
    <t>Dividendos como % de la Utilidad neta</t>
  </si>
  <si>
    <t>Tasa de impuestos</t>
  </si>
  <si>
    <t>POLITICAS</t>
  </si>
  <si>
    <t>CALCULO DE DIVIDENDOS</t>
  </si>
  <si>
    <t>DIVIDENDOS</t>
  </si>
  <si>
    <t>politico de dividendos</t>
  </si>
  <si>
    <t>AUMENTOS NOMINALES Y REALES</t>
  </si>
  <si>
    <t>INGRESOS OPERACIONALES (VENTAS DE SERCIOS) NACIONALES</t>
  </si>
  <si>
    <t>Ingresos operacionales (ventas de servicios) nacionales</t>
  </si>
  <si>
    <t>Aumento nominal en Ingresos operacionales</t>
  </si>
  <si>
    <t>Pib real sector a precios constantes del comercio</t>
  </si>
  <si>
    <t>ACTIVOS FIJOS</t>
  </si>
  <si>
    <t>(ATFN-DEPRE)-ATFN-1</t>
  </si>
  <si>
    <t>DEPRECIACION</t>
  </si>
  <si>
    <t>Check</t>
  </si>
  <si>
    <t>Repurchase of equity. Recompra de acciones</t>
  </si>
  <si>
    <t>Equity investment. Inversión de capital</t>
  </si>
  <si>
    <t>Long term debt. Deuda largo plazo</t>
  </si>
  <si>
    <t>Short term debt. Deuda a corto plazo</t>
  </si>
  <si>
    <t>Accounts Payable AP. Cuentas por pagar, CxP</t>
  </si>
  <si>
    <t/>
  </si>
  <si>
    <t>Fixed assets. Activos fijos</t>
  </si>
  <si>
    <t>ST investments. Inversiones temporales</t>
  </si>
  <si>
    <t>Accounts Receivable AR. Cuentas por cobrar CxC</t>
  </si>
  <si>
    <t>Cash. Caja y bancos</t>
  </si>
  <si>
    <t>Year</t>
  </si>
  <si>
    <t>Balance Sheet. Balance general</t>
  </si>
  <si>
    <t>Cumulated retained earnings. Uilidades acumuladas</t>
  </si>
  <si>
    <t>Dividends paid next year. Dividendos pagados al año siguiente</t>
  </si>
  <si>
    <t>Net Income. Utilidad neta</t>
  </si>
  <si>
    <t>Income Taxes. Impuesto de renta</t>
  </si>
  <si>
    <t>Earnings BeforeTaxes EBT, Utilidad antes de impuestos</t>
  </si>
  <si>
    <t>Interest payments. Gastos financieros (pago de intereses)</t>
  </si>
  <si>
    <t>Return (interest) from ST investment. Interés recibido</t>
  </si>
  <si>
    <t>Earnings Before Interest and Taxes (EBIT). Utilidad operativa UO</t>
  </si>
  <si>
    <t>Depreciation</t>
  </si>
  <si>
    <t>Administrative and selling expenses. Gastos de administración y ventas.</t>
  </si>
  <si>
    <t>Overhead expenses. Gastos generales</t>
  </si>
  <si>
    <t>Gross Income. Utilidad Bruta</t>
  </si>
  <si>
    <t>Cost of good sold, COGS Costo de los productos vendidos</t>
  </si>
  <si>
    <t>Sales revenues. Ventas o ingresos operativos</t>
  </si>
  <si>
    <t>Income Statement. Estado de resultados</t>
  </si>
  <si>
    <t>New debt LT. Nueva deuda LP</t>
  </si>
  <si>
    <t>Interest rate. Tasa de interés</t>
  </si>
  <si>
    <t>Ending balance. Saldo final</t>
  </si>
  <si>
    <t>Total payment ST2. Pago total</t>
  </si>
  <si>
    <t>Principal payments ST 2. Abono de capital</t>
  </si>
  <si>
    <t>Interest payment ST2. Pago de intereses</t>
  </si>
  <si>
    <t>Beginning balance. Saldo inicial</t>
  </si>
  <si>
    <t>Check with minum cash. Chequeo con saldo mínimo deseado</t>
  </si>
  <si>
    <t>Cumulated NCB. SNC acumulado</t>
  </si>
  <si>
    <t>Year NCB. SNC del año</t>
  </si>
  <si>
    <t>NCB of discretionary transactions. SNC de transacciones discrecionales</t>
  </si>
  <si>
    <t>Total inflow from ST investments. Ingreso total por inversiones de CP</t>
  </si>
  <si>
    <t>Return from ST investments. Rendimiento de las inversiones temporales</t>
  </si>
  <si>
    <t>Redemption of short term ST investment. Venta de inversiones temporales</t>
  </si>
  <si>
    <t xml:space="preserve">Module 5: Discretionary transactions. Módulo 5: Transacciones discrecionales </t>
  </si>
  <si>
    <t>NCB for the year after previous transactions</t>
  </si>
  <si>
    <t>NCB of transactions with owners. SNC de las transacciones con los dueños</t>
  </si>
  <si>
    <t>Total payments to shareholders. Pago total a accionistas</t>
  </si>
  <si>
    <t>Repurchase of stock. Recompra de acciones</t>
  </si>
  <si>
    <t>Dividends payment. Pago de dividendos</t>
  </si>
  <si>
    <t>Investment in equity. Inversión de Patrimonio</t>
  </si>
  <si>
    <t>Module 4: Transactions with owners. Módulo 4: transacciones con los dueños</t>
  </si>
  <si>
    <t>NCB of financing actividies. SNC de la financiación</t>
  </si>
  <si>
    <t>Total debt payment. Pago total de deuda</t>
  </si>
  <si>
    <t>Interest LT loan. Intereses a Largo Plazo</t>
  </si>
  <si>
    <t>Principal LT loan. Abono de préstamo a Largo Plazo</t>
  </si>
  <si>
    <t>Total payment ST. Pago total CP</t>
  </si>
  <si>
    <t>Interest ST loan. Intereses de préstamo a Corto Plazo</t>
  </si>
  <si>
    <t>Principal ST loan. Abono a capital Corto Plazo</t>
  </si>
  <si>
    <t>Payment of loans. Pago de préstamos</t>
  </si>
  <si>
    <t>LT loan 3 10 years. Préstamo a largo plazo de 10 años</t>
  </si>
  <si>
    <t>ST Loan 2. Préstamo a corto plazo</t>
  </si>
  <si>
    <t>Inflow of loans. Ingreso de préstamos</t>
  </si>
  <si>
    <t>Module 3: External financing. Módulo 3: Financiación externa</t>
  </si>
  <si>
    <t>NCB after fixed assets investment. Saldo neto de caja SNC después de compra de activos.</t>
  </si>
  <si>
    <t>NCB of investment in assets. Saldo neto de caja SNC por compra de activos</t>
  </si>
  <si>
    <t>Purchase of fixed assets. Compra de activos fijos.</t>
  </si>
  <si>
    <t>Selling of fixed assets. Venta de activos fijos</t>
  </si>
  <si>
    <t>Module 2: Investment in assets. Módulo 2: Inversión en activos fijos</t>
  </si>
  <si>
    <t>Net cash balance NCB before fixed assets purchase. Saldo neto de caja antes de compra de activos</t>
  </si>
  <si>
    <t>Total cash outflows. Egresos totales</t>
  </si>
  <si>
    <t>Overhead and Administrative and selling expenses</t>
  </si>
  <si>
    <t>Total payments for purchases. Pago total de compras</t>
  </si>
  <si>
    <t>Cash outflows. Egresos</t>
  </si>
  <si>
    <t>Total inflows. Total de ingresos</t>
  </si>
  <si>
    <t>Total AR plus sales on cash. Total de ingresos por ventas y cartera</t>
  </si>
  <si>
    <t>Cash inflows. Ingresos de caja.</t>
  </si>
  <si>
    <t>Module 1. Operating accounts. Módulo1 Saldo operativo</t>
  </si>
  <si>
    <t>Cash Budget. Flujo de Tesorería</t>
  </si>
  <si>
    <t>Total payments for purchases. Pago total de las compras</t>
  </si>
  <si>
    <t>Inflows from Accounts Receivables. Ingresos por cuentas por cobrar</t>
  </si>
  <si>
    <t>Inflow of sales revenues for current year. Ingrsos de ventas del mismo año</t>
  </si>
  <si>
    <t>Inflows from sales. Ingresos en efectivo por ventas</t>
  </si>
  <si>
    <t>Purchases on credit (1 year). Compras a crédito</t>
  </si>
  <si>
    <t>Purchases paid the same year. Compras pagadas en el mismo año</t>
  </si>
  <si>
    <t>Total purchases. Compras totales</t>
  </si>
  <si>
    <t>Credit sales (1 year). Ventas a crédito. CxC</t>
  </si>
  <si>
    <t>Inflow of sales revenues for current year. Ingresos por ventas en el mismo año</t>
  </si>
  <si>
    <t>Total sales revenues. Ventas totales</t>
  </si>
  <si>
    <t>Sales and purchases. Ventas y compras</t>
  </si>
  <si>
    <t>Administrative and selling expenses. Gastos administrativos y de ventas</t>
  </si>
  <si>
    <t>Advertising and promotion. Publicidad</t>
  </si>
  <si>
    <t>Payroll expenses. Gastos de nómina</t>
  </si>
  <si>
    <t>Sales commisions</t>
  </si>
  <si>
    <t>COGS. Costo de productos vendidos</t>
  </si>
  <si>
    <t>Cost of goods sold (COGS) calculation. Cálculo del costo de ventas</t>
  </si>
  <si>
    <t>Forecasted unit cost. Proyección del precio de compra</t>
  </si>
  <si>
    <t>Purchases in units. Compras en unidades</t>
  </si>
  <si>
    <t>Initial inventory in units. Inventario inicial en unidades</t>
  </si>
  <si>
    <t>Final inventory in units. Inventario final en unidades</t>
  </si>
  <si>
    <t>Units sold. Unidades vendidas</t>
  </si>
  <si>
    <t>Inventory and purchases in units. Inventarios y compras en unidades</t>
  </si>
  <si>
    <t>Inventory valuation using FIFO</t>
  </si>
  <si>
    <t>Net fixed assets. Activos fijos netos</t>
  </si>
  <si>
    <t>Cumulated depreciation. Depreciación acumulada</t>
  </si>
  <si>
    <t>Annual depreciation. Depreciación anual</t>
  </si>
  <si>
    <t>Deprec Invtmt yr 9</t>
  </si>
  <si>
    <t>Deprec Invtmt yr 8</t>
  </si>
  <si>
    <t>Deprec Invtmt yr 7</t>
  </si>
  <si>
    <t>Deprec Invtmt yr 6</t>
  </si>
  <si>
    <t>Deprec Invtmt yr 5</t>
  </si>
  <si>
    <t>Beginning net fixed assets. AF netos iniciales</t>
  </si>
  <si>
    <t>Depreciation schedule. Tabla de depreciación</t>
  </si>
  <si>
    <t>Minimum cash. Caja mínima</t>
  </si>
  <si>
    <t>Cost of debt, Kd, from CAPM= Rf+risk premium in cost of debt</t>
  </si>
  <si>
    <t>Return of short term investment. Rentabilidad de la inversión a corto plazo</t>
  </si>
  <si>
    <t>Risk free rate, tasa libre de riesgo Rf</t>
  </si>
  <si>
    <t>Price of asset in year 8 Precio del activo en el año 8</t>
  </si>
  <si>
    <t>Cumulated Factor for increase in prices for fixed assets. Factor acumulado de aumento de precios de activos fijos</t>
  </si>
  <si>
    <t>Total sales. Ventas totales</t>
  </si>
  <si>
    <t>Selling price. Precio de venta</t>
  </si>
  <si>
    <t>Sales in units. Ventas en unidades.</t>
  </si>
  <si>
    <t>Basic input variables calculation. Cálculo de la proyección de las variables básicas.</t>
  </si>
  <si>
    <t>Increase factor in volume. Factor de aumento  de volumen</t>
  </si>
  <si>
    <t>Nominal increase in price of fixed assets. Aumento nominal en precio de AF</t>
  </si>
  <si>
    <t>Nominal increase Administrative and selling expenses Aumento nominal Gastos administrativos y de ventas</t>
  </si>
  <si>
    <t>Nominal increase Overhead expenses. Aumento nominal Gastos Generales</t>
  </si>
  <si>
    <t>Nominal increase Purchasing price. Aumento nominal en precio de compra</t>
  </si>
  <si>
    <t>Nominal increase Selling price. Aumento nominal en precio de Venta</t>
  </si>
  <si>
    <t>Nominal increase in prices. Aumento nominal de precios.</t>
  </si>
  <si>
    <t>Repurchase of equity as a % of funds generated by depreciation. Recompra de participación como % de la depreciación.</t>
  </si>
  <si>
    <t>Quantity sold for first year. Cantidad que se espera vender para año 1</t>
  </si>
  <si>
    <t>Selling price. Precio de venta.</t>
  </si>
  <si>
    <t>Market research. Investigación de mercado.</t>
  </si>
  <si>
    <t>Selling comissions. Comisiones de ventas</t>
  </si>
  <si>
    <t>Price of new asset in year 5. Precio de activo en año 5</t>
  </si>
  <si>
    <t>Minimum cash requiredas % of sales. Saldo mínimo de caja como % de ventas.</t>
  </si>
  <si>
    <t>Payout ratio. Proporción de utilidades repartidas</t>
  </si>
  <si>
    <t>Accounts payable as % of purchases. Cuentas por pagar CxP como % de Compras</t>
  </si>
  <si>
    <t>Accounts receivable as % of sales. Cuentas por cobrar CxC como % de ventas.</t>
  </si>
  <si>
    <t>Inventory as % of volume sold. Política de inventario como % de unidades vendidas del año.</t>
  </si>
  <si>
    <t>Promotion and advertising as % of sales. Gastos de publicidad y promoción</t>
  </si>
  <si>
    <t>Policies and goals. Políticas y metas</t>
  </si>
  <si>
    <t>Risk free rate, Rf</t>
  </si>
  <si>
    <t>Risk premium for ST investment</t>
  </si>
  <si>
    <t>Risk premium for cost of debt. Prima de riesgo para la deuda</t>
  </si>
  <si>
    <t>Real interest rate. Tasa de interés real</t>
  </si>
  <si>
    <t>Increase in sales volume (units). Aumento de volumen</t>
  </si>
  <si>
    <t>Real increase in price fixed assets. Aumento real de precio de AF</t>
  </si>
  <si>
    <t>Real increase in administrative and selling expenses. Aumento real en gastos administrativos y de ventas</t>
  </si>
  <si>
    <t>Real increase in overhead expenses. Aumento real de GG</t>
  </si>
  <si>
    <t>Real increase in purchase price. Aumento real de precio de compra</t>
  </si>
  <si>
    <t>Real increase in selling price. Aumento real de precio de venta</t>
  </si>
  <si>
    <t>Inflation rate. Tasa de inflación</t>
  </si>
  <si>
    <t>Purchasing price. Precio de compra</t>
  </si>
  <si>
    <t>% of Long term deficit covered by debt. % de déficit de largo plazo cubierto con deuda</t>
  </si>
  <si>
    <t>Short term loan 2 (1 year). Préstamo a corto plazo. Plazo</t>
  </si>
  <si>
    <t>Long term (LT) years Loan 3 (M years).  Plazo</t>
  </si>
  <si>
    <t>Administrative and Sales payroll. Gastos laborales.</t>
  </si>
  <si>
    <t>Estimated Overhead expenses. Gastos generales. GG</t>
  </si>
  <si>
    <t>Initial purchase price. Precio de compra inicial</t>
  </si>
  <si>
    <t>Corporate tax rate. Tasa de impuestos</t>
  </si>
  <si>
    <t>Equity investment. Inversión de patrimonio</t>
  </si>
  <si>
    <t>Input data. Datos de entrada</t>
  </si>
  <si>
    <t>Lineal Depreciation (5 years)</t>
  </si>
  <si>
    <t>año</t>
  </si>
  <si>
    <t>promedio</t>
  </si>
  <si>
    <t>ventas</t>
  </si>
  <si>
    <t>%varicion ventas nominal</t>
  </si>
  <si>
    <t>% variacion de PIB a precios constantes del sector comercial</t>
  </si>
  <si>
    <t>inflacion</t>
  </si>
  <si>
    <t>%varicion ventas real</t>
  </si>
  <si>
    <t xml:space="preserve"> OBLIGACIONES LABORALES </t>
  </si>
  <si>
    <t>obligaciones laborales totales</t>
  </si>
  <si>
    <t>% crec. Nominal de o.laborales</t>
  </si>
  <si>
    <t>% crec. Real de las o. laborales</t>
  </si>
  <si>
    <t>inflacion proyectada</t>
  </si>
  <si>
    <t>años</t>
  </si>
  <si>
    <t>crecimiento en unidades del pib</t>
  </si>
  <si>
    <t>aumento en ventas</t>
  </si>
  <si>
    <t>ventas proyectadas</t>
  </si>
  <si>
    <t xml:space="preserve">Compras </t>
  </si>
  <si>
    <t>% de variacion de las compras reales</t>
  </si>
  <si>
    <t>% variacion real precio compra</t>
  </si>
  <si>
    <t>% variacion de precio real venta</t>
  </si>
  <si>
    <t>variacion % de la compras nominal</t>
  </si>
  <si>
    <t xml:space="preserve"> Gastos Op. Administración</t>
  </si>
  <si>
    <t>Gastos Operacional Ventas</t>
  </si>
  <si>
    <t>COLOCACIONES DE TITULOS TES "B"  EN PESOS POR SUBASTA</t>
  </si>
  <si>
    <t>Fecha de</t>
  </si>
  <si>
    <t>Plazo</t>
  </si>
  <si>
    <t>Tasa de</t>
  </si>
  <si>
    <t>Cumplimiento</t>
  </si>
  <si>
    <t>emisión</t>
  </si>
  <si>
    <t>corte</t>
  </si>
  <si>
    <t>3 AÑOS /1</t>
  </si>
  <si>
    <t>3 AÑOS</t>
  </si>
  <si>
    <t>promedio del año</t>
  </si>
  <si>
    <t>5 años</t>
  </si>
  <si>
    <t>5 AÑOS /1</t>
  </si>
  <si>
    <t>7 años</t>
  </si>
  <si>
    <t>7 años/1</t>
  </si>
  <si>
    <t>10 años</t>
  </si>
  <si>
    <t>10 años/1</t>
  </si>
  <si>
    <t>10 años/2</t>
  </si>
  <si>
    <t>15 años</t>
  </si>
  <si>
    <t>15 años/2</t>
  </si>
  <si>
    <t>16 años</t>
  </si>
  <si>
    <t>16 años/2</t>
  </si>
  <si>
    <t xml:space="preserve">Tasas de Interés de los Certificados de Depósito a Término </t>
  </si>
  <si>
    <t>Promedio 180 y 360 días</t>
  </si>
  <si>
    <t>Efectiva anual</t>
  </si>
  <si>
    <t>Porcentaje</t>
  </si>
  <si>
    <t>Período</t>
  </si>
  <si>
    <t>CDT 180</t>
  </si>
  <si>
    <t>CDT 360</t>
  </si>
  <si>
    <t xml:space="preserve"> </t>
  </si>
  <si>
    <t>Mes</t>
  </si>
  <si>
    <t>Semana  de Aplicación</t>
  </si>
  <si>
    <t>Enero</t>
  </si>
  <si>
    <t>04</t>
  </si>
  <si>
    <t>-</t>
  </si>
  <si>
    <t>10</t>
  </si>
  <si>
    <t>11</t>
  </si>
  <si>
    <t>17</t>
  </si>
  <si>
    <t>24</t>
  </si>
  <si>
    <t>25</t>
  </si>
  <si>
    <t>31</t>
  </si>
  <si>
    <t>Febrero</t>
  </si>
  <si>
    <t>01</t>
  </si>
  <si>
    <t>07</t>
  </si>
  <si>
    <t>08</t>
  </si>
  <si>
    <t>14</t>
  </si>
  <si>
    <t>15</t>
  </si>
  <si>
    <t>21</t>
  </si>
  <si>
    <t>22</t>
  </si>
  <si>
    <t>28</t>
  </si>
  <si>
    <t>Marzo</t>
  </si>
  <si>
    <t>29</t>
  </si>
  <si>
    <t>Abril</t>
  </si>
  <si>
    <t>05</t>
  </si>
  <si>
    <t>12</t>
  </si>
  <si>
    <t>18</t>
  </si>
  <si>
    <t>19</t>
  </si>
  <si>
    <t>26</t>
  </si>
  <si>
    <t>02</t>
  </si>
  <si>
    <t>Mayo</t>
  </si>
  <si>
    <t>03</t>
  </si>
  <si>
    <t>09</t>
  </si>
  <si>
    <t>16</t>
  </si>
  <si>
    <t>Junio</t>
  </si>
  <si>
    <t>06</t>
  </si>
  <si>
    <t>13</t>
  </si>
  <si>
    <t>20</t>
  </si>
  <si>
    <t>27</t>
  </si>
  <si>
    <t>Julio</t>
  </si>
  <si>
    <t>Agosto</t>
  </si>
  <si>
    <t>23</t>
  </si>
  <si>
    <t>Septiembre</t>
  </si>
  <si>
    <t>30</t>
  </si>
  <si>
    <t>Octubre</t>
  </si>
  <si>
    <t>Noviembre</t>
  </si>
  <si>
    <t>Diciembre</t>
  </si>
  <si>
    <t>promedio anual</t>
  </si>
  <si>
    <t>TASAS DE COLOCACIÓN - SERIE HISTÓRICA  1/</t>
  </si>
  <si>
    <t>Tasa efectiva anual y monto en millones de pesos</t>
  </si>
  <si>
    <t>Fecha (Semana)</t>
  </si>
  <si>
    <r>
      <t xml:space="preserve">Colocación Total </t>
    </r>
    <r>
      <rPr>
        <b/>
        <sz val="10"/>
        <rFont val="Arial"/>
        <family val="2"/>
      </rPr>
      <t>4/</t>
    </r>
  </si>
  <si>
    <t xml:space="preserve">Tasa </t>
  </si>
  <si>
    <t>Monto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</si>
  <si>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</si>
  <si>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</si>
  <si>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</si>
  <si>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</si>
  <si>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</si>
  <si>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</si>
  <si>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</si>
  <si>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</si>
  <si>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</si>
  <si>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</si>
  <si>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</si>
  <si>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</si>
  <si>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1999-13</t>
  </si>
  <si>
    <t>1999-14</t>
  </si>
  <si>
    <t>1999-15</t>
  </si>
  <si>
    <t>1999-16</t>
  </si>
  <si>
    <t>1999-17</t>
  </si>
  <si>
    <t>1999-18</t>
  </si>
  <si>
    <t>1999-19</t>
  </si>
  <si>
    <t>1999-20</t>
  </si>
  <si>
    <t>1999-21</t>
  </si>
  <si>
    <t>1999-22</t>
  </si>
  <si>
    <t>1999-23</t>
  </si>
  <si>
    <t>1999-24</t>
  </si>
  <si>
    <t>1999-25</t>
  </si>
  <si>
    <t>1999-26</t>
  </si>
  <si>
    <t>1999-27</t>
  </si>
  <si>
    <t>1999-28</t>
  </si>
  <si>
    <t>1999-29</t>
  </si>
  <si>
    <t>1999-30</t>
  </si>
  <si>
    <t>1999-31</t>
  </si>
  <si>
    <t>1999-32</t>
  </si>
  <si>
    <t>1999-33</t>
  </si>
  <si>
    <t>1999-34</t>
  </si>
  <si>
    <t>1999-35</t>
  </si>
  <si>
    <t>1999-36</t>
  </si>
  <si>
    <t>1999-37</t>
  </si>
  <si>
    <t>1999-38</t>
  </si>
  <si>
    <t>1999-39</t>
  </si>
  <si>
    <t>1999-40</t>
  </si>
  <si>
    <t>1999-41</t>
  </si>
  <si>
    <t>1999-42</t>
  </si>
  <si>
    <t>1999-43</t>
  </si>
  <si>
    <t>1999-44</t>
  </si>
  <si>
    <t>1999-45</t>
  </si>
  <si>
    <t>1999-46</t>
  </si>
  <si>
    <t>1999-47</t>
  </si>
  <si>
    <t>1999-48</t>
  </si>
  <si>
    <t>1999-49</t>
  </si>
  <si>
    <t>1999-50</t>
  </si>
  <si>
    <t>1999-51</t>
  </si>
  <si>
    <t>1999-52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</si>
  <si>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</si>
  <si>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</si>
  <si>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</si>
  <si>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</si>
  <si>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</si>
  <si>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</si>
  <si>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</si>
  <si>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</si>
  <si>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</si>
  <si>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</si>
  <si>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</si>
  <si>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</si>
  <si>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2000-13</t>
  </si>
  <si>
    <t>2000-14</t>
  </si>
  <si>
    <t>2000-15</t>
  </si>
  <si>
    <t>2000-16</t>
  </si>
  <si>
    <t>2000-17</t>
  </si>
  <si>
    <t>2000-18</t>
  </si>
  <si>
    <t>2000-19</t>
  </si>
  <si>
    <t>2000-20</t>
  </si>
  <si>
    <t>2000-21</t>
  </si>
  <si>
    <t>2000-22</t>
  </si>
  <si>
    <t>2000-23</t>
  </si>
  <si>
    <t>2000-24</t>
  </si>
  <si>
    <t>2000-25</t>
  </si>
  <si>
    <t>2000-26</t>
  </si>
  <si>
    <t>2000-27</t>
  </si>
  <si>
    <t>2000-28</t>
  </si>
  <si>
    <t>2000-29</t>
  </si>
  <si>
    <t>2000-30</t>
  </si>
  <si>
    <t>2000-31</t>
  </si>
  <si>
    <t>2000-32</t>
  </si>
  <si>
    <t>2000-33</t>
  </si>
  <si>
    <t>2000-34</t>
  </si>
  <si>
    <t>2000-35</t>
  </si>
  <si>
    <t>2000-36</t>
  </si>
  <si>
    <t>2000-37</t>
  </si>
  <si>
    <t>2000-38</t>
  </si>
  <si>
    <t>2000-39</t>
  </si>
  <si>
    <t>2000-40</t>
  </si>
  <si>
    <t>2000-41</t>
  </si>
  <si>
    <t>2000-42</t>
  </si>
  <si>
    <t>2000-43</t>
  </si>
  <si>
    <t>2000-44</t>
  </si>
  <si>
    <t>2000-45</t>
  </si>
  <si>
    <t>2000-46</t>
  </si>
  <si>
    <t>2000-47</t>
  </si>
  <si>
    <t>2000-48</t>
  </si>
  <si>
    <t>2000-49</t>
  </si>
  <si>
    <t>2000-50</t>
  </si>
  <si>
    <t>2000-51</t>
  </si>
  <si>
    <t>2000-52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</si>
  <si>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</si>
  <si>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</si>
  <si>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</si>
  <si>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</si>
  <si>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</si>
  <si>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</si>
  <si>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</si>
  <si>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</si>
  <si>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</si>
  <si>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</si>
  <si>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</si>
  <si>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</si>
  <si>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2001-13</t>
  </si>
  <si>
    <t>2001-14</t>
  </si>
  <si>
    <t>2001-15</t>
  </si>
  <si>
    <t>2001-16</t>
  </si>
  <si>
    <t>2001-17</t>
  </si>
  <si>
    <t>2001-18</t>
  </si>
  <si>
    <t>2001-19</t>
  </si>
  <si>
    <t>2001-20</t>
  </si>
  <si>
    <t>2001-21</t>
  </si>
  <si>
    <t>2001-22</t>
  </si>
  <si>
    <t>2001-23</t>
  </si>
  <si>
    <t>2001-24</t>
  </si>
  <si>
    <t>2001-25</t>
  </si>
  <si>
    <t>2001-26</t>
  </si>
  <si>
    <t>2001-27</t>
  </si>
  <si>
    <t>2001-28</t>
  </si>
  <si>
    <t>2001-29</t>
  </si>
  <si>
    <t>2001-30</t>
  </si>
  <si>
    <t>2001-31</t>
  </si>
  <si>
    <t>2001-32</t>
  </si>
  <si>
    <t>2001-33</t>
  </si>
  <si>
    <t>2001-34</t>
  </si>
  <si>
    <t>2001-35</t>
  </si>
  <si>
    <t>2001-36</t>
  </si>
  <si>
    <t>2001-37</t>
  </si>
  <si>
    <t>2001-38</t>
  </si>
  <si>
    <t>2001-39</t>
  </si>
  <si>
    <t>2001-40</t>
  </si>
  <si>
    <t>2001-41</t>
  </si>
  <si>
    <t>2001-42</t>
  </si>
  <si>
    <t>2001-43</t>
  </si>
  <si>
    <t>2001-44</t>
  </si>
  <si>
    <t>2001-45</t>
  </si>
  <si>
    <t>2001-46</t>
  </si>
  <si>
    <t>2001-47</t>
  </si>
  <si>
    <t>2001-48</t>
  </si>
  <si>
    <t>2001-49</t>
  </si>
  <si>
    <t>2001-50</t>
  </si>
  <si>
    <t>2001-51</t>
  </si>
  <si>
    <t>2001-52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</si>
  <si>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</si>
  <si>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</si>
  <si>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</si>
  <si>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</si>
  <si>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</si>
  <si>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</si>
  <si>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</si>
  <si>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</si>
  <si>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</si>
  <si>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</si>
  <si>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</si>
  <si>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</si>
  <si>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2002-13</t>
  </si>
  <si>
    <t>2002-14</t>
  </si>
  <si>
    <t>2002-15</t>
  </si>
  <si>
    <t>2002-16</t>
  </si>
  <si>
    <t>2002-17</t>
  </si>
  <si>
    <t>2002-18</t>
  </si>
  <si>
    <t>2002-19</t>
  </si>
  <si>
    <t>2002-20</t>
  </si>
  <si>
    <t>2002-21</t>
  </si>
  <si>
    <t>2002-22</t>
  </si>
  <si>
    <t>2002-23</t>
  </si>
  <si>
    <t>2002-24</t>
  </si>
  <si>
    <t>2002-25</t>
  </si>
  <si>
    <t>2002-26</t>
  </si>
  <si>
    <t>2002-27</t>
  </si>
  <si>
    <t>2002-28</t>
  </si>
  <si>
    <t>2002-29</t>
  </si>
  <si>
    <t>2002-30</t>
  </si>
  <si>
    <t>2002-31</t>
  </si>
  <si>
    <t>2002-32</t>
  </si>
  <si>
    <t>2002-33</t>
  </si>
  <si>
    <t>2002-34</t>
  </si>
  <si>
    <t>2002-35</t>
  </si>
  <si>
    <t>2002-36</t>
  </si>
  <si>
    <t>2002-37</t>
  </si>
  <si>
    <t>2002-38</t>
  </si>
  <si>
    <t>2002-39</t>
  </si>
  <si>
    <t>2002-40</t>
  </si>
  <si>
    <t>2002-41</t>
  </si>
  <si>
    <t>2002-42</t>
  </si>
  <si>
    <t>2002-43</t>
  </si>
  <si>
    <t>2002-44</t>
  </si>
  <si>
    <t>2002-45</t>
  </si>
  <si>
    <t>2002-46</t>
  </si>
  <si>
    <t>2002-47</t>
  </si>
  <si>
    <t>2002-48</t>
  </si>
  <si>
    <t>2002-49</t>
  </si>
  <si>
    <t>2002-50</t>
  </si>
  <si>
    <t>2002-51</t>
  </si>
  <si>
    <t>2002-52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</si>
  <si>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</si>
  <si>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</si>
  <si>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</si>
  <si>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</si>
  <si>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</si>
  <si>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</si>
  <si>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</si>
  <si>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</si>
  <si>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</si>
  <si>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</si>
  <si>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</si>
  <si>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</si>
  <si>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2003-13</t>
  </si>
  <si>
    <t>2003-14</t>
  </si>
  <si>
    <t>2003-15</t>
  </si>
  <si>
    <t>2003-16</t>
  </si>
  <si>
    <t>2003-17</t>
  </si>
  <si>
    <t>2003-18</t>
  </si>
  <si>
    <t>2003-19</t>
  </si>
  <si>
    <t>2003-20</t>
  </si>
  <si>
    <t>2003-21</t>
  </si>
  <si>
    <t>2003-22</t>
  </si>
  <si>
    <t>2003-23</t>
  </si>
  <si>
    <t>2003-24</t>
  </si>
  <si>
    <t>2003-25</t>
  </si>
  <si>
    <t>2003-26</t>
  </si>
  <si>
    <t>2003-27</t>
  </si>
  <si>
    <t>2003-28</t>
  </si>
  <si>
    <t>2003-29</t>
  </si>
  <si>
    <t>2003-30</t>
  </si>
  <si>
    <t>2003-31</t>
  </si>
  <si>
    <t>2003-32</t>
  </si>
  <si>
    <t>2003-33</t>
  </si>
  <si>
    <t>2003-34</t>
  </si>
  <si>
    <t>2003-35</t>
  </si>
  <si>
    <t>2003-36</t>
  </si>
  <si>
    <t>2003-37</t>
  </si>
  <si>
    <t>2003-38</t>
  </si>
  <si>
    <t>2003-39</t>
  </si>
  <si>
    <t>2003-40</t>
  </si>
  <si>
    <t>2003-41</t>
  </si>
  <si>
    <t>2003-42</t>
  </si>
  <si>
    <t>2003-43</t>
  </si>
  <si>
    <t>2003-44</t>
  </si>
  <si>
    <t>2003-45</t>
  </si>
  <si>
    <t>2003-46</t>
  </si>
  <si>
    <t>2003-47</t>
  </si>
  <si>
    <t>2003-48</t>
  </si>
  <si>
    <t>2003-49</t>
  </si>
  <si>
    <t>2003-50</t>
  </si>
  <si>
    <t>2003-51</t>
  </si>
  <si>
    <t>2003-52</t>
  </si>
  <si>
    <t>2003-53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</si>
  <si>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</si>
  <si>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</si>
  <si>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</si>
  <si>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</si>
  <si>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</si>
  <si>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</si>
  <si>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</si>
  <si>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</si>
  <si>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</si>
  <si>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</si>
  <si>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</si>
  <si>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</si>
  <si>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2004-13</t>
  </si>
  <si>
    <t>2004-14</t>
  </si>
  <si>
    <t>2004-15</t>
  </si>
  <si>
    <t>2004-16</t>
  </si>
  <si>
    <t>2004-17</t>
  </si>
  <si>
    <t>2004-18</t>
  </si>
  <si>
    <t>2004-19</t>
  </si>
  <si>
    <t>2004-20</t>
  </si>
  <si>
    <t>2004-21</t>
  </si>
  <si>
    <t>2004-22</t>
  </si>
  <si>
    <t>2004-23</t>
  </si>
  <si>
    <t>2004-24</t>
  </si>
  <si>
    <t>2004-25</t>
  </si>
  <si>
    <t>2004-26</t>
  </si>
  <si>
    <t>2004-27</t>
  </si>
  <si>
    <t>2004-28</t>
  </si>
  <si>
    <t>2004-29</t>
  </si>
  <si>
    <t>2004-30</t>
  </si>
  <si>
    <t>2004-31</t>
  </si>
  <si>
    <t>2004-32</t>
  </si>
  <si>
    <t>2004-33</t>
  </si>
  <si>
    <t>2004-34</t>
  </si>
  <si>
    <t>2004-35</t>
  </si>
  <si>
    <t>2004-36</t>
  </si>
  <si>
    <t>2004-37</t>
  </si>
  <si>
    <t>2004-38</t>
  </si>
  <si>
    <t>2004-39</t>
  </si>
  <si>
    <t>2004-40</t>
  </si>
  <si>
    <t>2004-41</t>
  </si>
  <si>
    <t>2004-42</t>
  </si>
  <si>
    <t>2004-43</t>
  </si>
  <si>
    <t>2004-44</t>
  </si>
  <si>
    <t>2004-45</t>
  </si>
  <si>
    <t>2004-46</t>
  </si>
  <si>
    <t>2004-47</t>
  </si>
  <si>
    <t>2004-48</t>
  </si>
  <si>
    <t>2004-49</t>
  </si>
  <si>
    <t>2004-50</t>
  </si>
  <si>
    <t>2004-51</t>
  </si>
  <si>
    <t>2004-52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</si>
  <si>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</si>
  <si>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</si>
  <si>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</si>
  <si>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</si>
  <si>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</si>
  <si>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</si>
  <si>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</si>
  <si>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</si>
  <si>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</si>
  <si>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</si>
  <si>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</si>
  <si>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</si>
  <si>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2005-13</t>
  </si>
  <si>
    <t>2005-14</t>
  </si>
  <si>
    <t>2005-15</t>
  </si>
  <si>
    <t>2005-16</t>
  </si>
  <si>
    <t>2005-17</t>
  </si>
  <si>
    <t>2005-18</t>
  </si>
  <si>
    <t>2005-19</t>
  </si>
  <si>
    <t>2005-20</t>
  </si>
  <si>
    <t>2005-21</t>
  </si>
  <si>
    <t>2005-22</t>
  </si>
  <si>
    <t>2005-23</t>
  </si>
  <si>
    <t>2005-24</t>
  </si>
  <si>
    <t>2005-25</t>
  </si>
  <si>
    <t>2005-26</t>
  </si>
  <si>
    <t>2005-27</t>
  </si>
  <si>
    <t>2005-28</t>
  </si>
  <si>
    <t>2005-29</t>
  </si>
  <si>
    <t>2005-30</t>
  </si>
  <si>
    <t>2005-31</t>
  </si>
  <si>
    <t>2005-32</t>
  </si>
  <si>
    <t>2005-33</t>
  </si>
  <si>
    <t>2005-34</t>
  </si>
  <si>
    <t>2005-35</t>
  </si>
  <si>
    <t>2005-36</t>
  </si>
  <si>
    <t>2005-37</t>
  </si>
  <si>
    <t>2005-38</t>
  </si>
  <si>
    <t>2005-39</t>
  </si>
  <si>
    <t>2005-40</t>
  </si>
  <si>
    <t>2005-41</t>
  </si>
  <si>
    <t>2005-42</t>
  </si>
  <si>
    <t>2005-43</t>
  </si>
  <si>
    <t>2005-44</t>
  </si>
  <si>
    <t>2005-45</t>
  </si>
  <si>
    <t>2005-46</t>
  </si>
  <si>
    <t>2005-47</t>
  </si>
  <si>
    <t>2005-48</t>
  </si>
  <si>
    <t>2005-49</t>
  </si>
  <si>
    <t>2005-50</t>
  </si>
  <si>
    <t>2005-51</t>
  </si>
  <si>
    <t>2005-52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</si>
  <si>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</si>
  <si>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</si>
  <si>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</si>
  <si>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</si>
  <si>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</si>
  <si>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</si>
  <si>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</si>
  <si>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</si>
  <si>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</si>
  <si>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</si>
  <si>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</si>
  <si>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</si>
  <si>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2006-13</t>
  </si>
  <si>
    <t>2006-14</t>
  </si>
  <si>
    <t>2006-15</t>
  </si>
  <si>
    <t>2006-16</t>
  </si>
  <si>
    <t>2006-17</t>
  </si>
  <si>
    <t>2006-18</t>
  </si>
  <si>
    <t>2006-19</t>
  </si>
  <si>
    <t>2006-20</t>
  </si>
  <si>
    <t>2006-21</t>
  </si>
  <si>
    <t>2006-22</t>
  </si>
  <si>
    <t>2006-23</t>
  </si>
  <si>
    <t>2006-24</t>
  </si>
  <si>
    <t>2006-25</t>
  </si>
  <si>
    <t>2006-26</t>
  </si>
  <si>
    <t>2006-27</t>
  </si>
  <si>
    <t>2006-28</t>
  </si>
  <si>
    <t>2006-29</t>
  </si>
  <si>
    <t>2006-30</t>
  </si>
  <si>
    <t>2006-31</t>
  </si>
  <si>
    <t>2006-32</t>
  </si>
  <si>
    <t>2006-33</t>
  </si>
  <si>
    <t>2006-34</t>
  </si>
  <si>
    <t>2006-35</t>
  </si>
  <si>
    <t>2006-36</t>
  </si>
  <si>
    <t>2006-37</t>
  </si>
  <si>
    <t>2006-38</t>
  </si>
  <si>
    <t>2006-39</t>
  </si>
  <si>
    <t>2006-40</t>
  </si>
  <si>
    <t>2006-41</t>
  </si>
  <si>
    <t>2006-42</t>
  </si>
  <si>
    <t>2006-43</t>
  </si>
  <si>
    <t>2006-44</t>
  </si>
  <si>
    <t>2006-45</t>
  </si>
  <si>
    <t>2006-46</t>
  </si>
  <si>
    <t>2006-47</t>
  </si>
  <si>
    <t>2006-48</t>
  </si>
  <si>
    <t>2006-49</t>
  </si>
  <si>
    <t>2006-50</t>
  </si>
  <si>
    <t>2006-51</t>
  </si>
  <si>
    <t>2006-52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</si>
  <si>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</si>
  <si>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</si>
  <si>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</si>
  <si>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</si>
  <si>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</si>
  <si>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</si>
  <si>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</si>
  <si>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</si>
  <si>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</si>
  <si>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</si>
  <si>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</si>
  <si>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</si>
  <si>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2007-13</t>
  </si>
  <si>
    <t>2007-14</t>
  </si>
  <si>
    <t>2007-15</t>
  </si>
  <si>
    <t>2007-16</t>
  </si>
  <si>
    <t>2007-17</t>
  </si>
  <si>
    <t>2007-18</t>
  </si>
  <si>
    <t>2007-19</t>
  </si>
  <si>
    <t>2007-20</t>
  </si>
  <si>
    <t>2007-21</t>
  </si>
  <si>
    <t>2007-22</t>
  </si>
  <si>
    <t>2007-23</t>
  </si>
  <si>
    <t>2007-24</t>
  </si>
  <si>
    <t>2007-25</t>
  </si>
  <si>
    <t>2007-26</t>
  </si>
  <si>
    <t>2007-27</t>
  </si>
  <si>
    <t>2007-28</t>
  </si>
  <si>
    <t>2007-29</t>
  </si>
  <si>
    <t>2007-30</t>
  </si>
  <si>
    <t>2007-31</t>
  </si>
  <si>
    <t>2007-32</t>
  </si>
  <si>
    <t>2007-33</t>
  </si>
  <si>
    <t>2007-34</t>
  </si>
  <si>
    <t>2007-35</t>
  </si>
  <si>
    <t>2007-36</t>
  </si>
  <si>
    <t>2007-37</t>
  </si>
  <si>
    <t>2007-38</t>
  </si>
  <si>
    <t>2007-39</t>
  </si>
  <si>
    <t>2007-40</t>
  </si>
  <si>
    <t>2007-41</t>
  </si>
  <si>
    <t>2007-42</t>
  </si>
  <si>
    <t>2007-43</t>
  </si>
  <si>
    <t>2007-44</t>
  </si>
  <si>
    <t>2007-45</t>
  </si>
  <si>
    <t>2007-46</t>
  </si>
  <si>
    <t>2007-47</t>
  </si>
  <si>
    <t>2007-48</t>
  </si>
  <si>
    <t>2007-49</t>
  </si>
  <si>
    <t>2007-50</t>
  </si>
  <si>
    <t>2007-51</t>
  </si>
  <si>
    <t>2007-52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</si>
  <si>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</si>
  <si>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</si>
  <si>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</si>
  <si>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</si>
  <si>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</si>
  <si>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</si>
  <si>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</si>
  <si>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</si>
  <si>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</si>
  <si>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</si>
  <si>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</si>
  <si>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</si>
  <si>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2008-13</t>
  </si>
  <si>
    <t>2008-14</t>
  </si>
  <si>
    <t>2008-15</t>
  </si>
  <si>
    <t>2008-16</t>
  </si>
  <si>
    <t>2008-17</t>
  </si>
  <si>
    <t>2008-18</t>
  </si>
  <si>
    <t>2008-19</t>
  </si>
  <si>
    <t>2008-20</t>
  </si>
  <si>
    <t>2008-21</t>
  </si>
  <si>
    <t>2008-22</t>
  </si>
  <si>
    <t>2008-23</t>
  </si>
  <si>
    <t>2008-24</t>
  </si>
  <si>
    <t>2008-25</t>
  </si>
  <si>
    <t>2008-26</t>
  </si>
  <si>
    <t>2008-27</t>
  </si>
  <si>
    <t>2008-28</t>
  </si>
  <si>
    <t>2008-29</t>
  </si>
  <si>
    <t>2008-30</t>
  </si>
  <si>
    <t>2008-31</t>
  </si>
  <si>
    <t>2008-32</t>
  </si>
  <si>
    <t>2008-33</t>
  </si>
  <si>
    <t>2008-34</t>
  </si>
  <si>
    <t>2008-35</t>
  </si>
  <si>
    <t>2008-36</t>
  </si>
  <si>
    <t>2008-37</t>
  </si>
  <si>
    <t>2008-38</t>
  </si>
  <si>
    <t>2008-39</t>
  </si>
  <si>
    <t>2008-40</t>
  </si>
  <si>
    <t>2008-41</t>
  </si>
  <si>
    <t>2008-42</t>
  </si>
  <si>
    <t>2008-43</t>
  </si>
  <si>
    <t>2008-44</t>
  </si>
  <si>
    <t>2008-45</t>
  </si>
  <si>
    <t>2008-46</t>
  </si>
  <si>
    <t>2008-47</t>
  </si>
  <si>
    <t>2008-48</t>
  </si>
  <si>
    <t>2008-49</t>
  </si>
  <si>
    <t>2008-50</t>
  </si>
  <si>
    <t>2008-51</t>
  </si>
  <si>
    <t>2008-52</t>
  </si>
  <si>
    <t>2008-53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</si>
  <si>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</si>
  <si>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</si>
  <si>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</si>
  <si>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</si>
  <si>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</si>
  <si>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</si>
  <si>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</si>
  <si>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</si>
  <si>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</si>
  <si>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</si>
  <si>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</si>
  <si>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</si>
  <si>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2009-13</t>
  </si>
  <si>
    <t>2009-14</t>
  </si>
  <si>
    <t>2009-15</t>
  </si>
  <si>
    <t>2009-16</t>
  </si>
  <si>
    <t>2009-17</t>
  </si>
  <si>
    <t>2009-18</t>
  </si>
  <si>
    <t>2009-19</t>
  </si>
  <si>
    <t>2009-20</t>
  </si>
  <si>
    <t>2009-21</t>
  </si>
  <si>
    <t>2009-22</t>
  </si>
  <si>
    <t>2009-23</t>
  </si>
  <si>
    <t>2009-24</t>
  </si>
  <si>
    <t>2009-25</t>
  </si>
  <si>
    <t>2009-26</t>
  </si>
  <si>
    <t>2009-27</t>
  </si>
  <si>
    <t>2009-28</t>
  </si>
  <si>
    <t>2009-29</t>
  </si>
  <si>
    <t>2009-30</t>
  </si>
  <si>
    <t>2009-31</t>
  </si>
  <si>
    <t>2009-32</t>
  </si>
  <si>
    <t>2009-33</t>
  </si>
  <si>
    <t>2009-34</t>
  </si>
  <si>
    <t>2009-35</t>
  </si>
  <si>
    <t>2009-36</t>
  </si>
  <si>
    <t>2009-37</t>
  </si>
  <si>
    <t>2009-38</t>
  </si>
  <si>
    <t>2009-39</t>
  </si>
  <si>
    <t>2009-40</t>
  </si>
  <si>
    <t>2009-41</t>
  </si>
  <si>
    <t>2009-42</t>
  </si>
  <si>
    <t>2009-43</t>
  </si>
  <si>
    <t>2009-44</t>
  </si>
  <si>
    <t>2009-45</t>
  </si>
  <si>
    <t>2009-46</t>
  </si>
  <si>
    <t>2009-47</t>
  </si>
  <si>
    <t>2009-48</t>
  </si>
  <si>
    <t>2009-49</t>
  </si>
  <si>
    <t>2009-50</t>
  </si>
  <si>
    <t>2009-51</t>
  </si>
  <si>
    <t>2009-52</t>
  </si>
  <si>
    <t>resumen</t>
  </si>
  <si>
    <t>tasa de captacion (%)</t>
  </si>
  <si>
    <t>tasa de colocacion  (%)</t>
  </si>
  <si>
    <t>bono TES (%)</t>
  </si>
  <si>
    <r>
      <t>Fuente</t>
    </r>
    <r>
      <rPr>
        <sz val="8"/>
        <rFont val="Calibri"/>
        <family val="2"/>
        <scheme val="minor"/>
      </rPr>
      <t xml:space="preserve">: Banco de la República, Subgerencia Monetaria </t>
    </r>
  </si>
  <si>
    <t>y de Reservas, Departamento de  Operaciones y Desarrollo de Mercados</t>
  </si>
  <si>
    <t>Kd</t>
  </si>
  <si>
    <t>tasa de libre riesgo (Rf)</t>
  </si>
  <si>
    <t>Kd-Rf</t>
  </si>
  <si>
    <t>Inflacion</t>
  </si>
  <si>
    <t>Tasa de interes real</t>
  </si>
  <si>
    <t>Prima de Riego de inversion</t>
  </si>
  <si>
    <t>Deprec Invtmt yr 1</t>
  </si>
  <si>
    <t>Deprec Invtmt yr 2</t>
  </si>
  <si>
    <t>Deprec Invtmt yr 3</t>
  </si>
  <si>
    <t>Deprec Invtmt yr 4</t>
  </si>
  <si>
    <t>Saldo mínimo de caja como % de ventas.</t>
  </si>
  <si>
    <t>Taxes are paid the same year as accrued. Los impuestos se pagan el mismo año que se provisionan</t>
  </si>
  <si>
    <t>Proyecciones hasta año 10</t>
  </si>
  <si>
    <t>Deprec Investmt yr 0. Depreciación de la inversión en año 0</t>
  </si>
  <si>
    <t xml:space="preserve">Initial inventory </t>
  </si>
  <si>
    <t>SMLV historico</t>
  </si>
  <si>
    <t>Aumento nominal SMLV H.</t>
  </si>
  <si>
    <t>aumento real SMLV. H.</t>
  </si>
  <si>
    <t>aumento real SMLV. H. hasta el 2008</t>
  </si>
  <si>
    <t>censantias</t>
  </si>
  <si>
    <t>vacaciones</t>
  </si>
  <si>
    <t>prima legal</t>
  </si>
  <si>
    <t>intereses</t>
  </si>
  <si>
    <t>aportes parafiscales</t>
  </si>
  <si>
    <t>salud</t>
  </si>
  <si>
    <t>pension</t>
  </si>
  <si>
    <t>arp</t>
  </si>
  <si>
    <t>total salario anual</t>
  </si>
  <si>
    <t>gastos de personal</t>
  </si>
  <si>
    <t>años proyectados</t>
  </si>
  <si>
    <t>aumento nominal proy.</t>
  </si>
  <si>
    <t>gasto personal proyectado</t>
  </si>
  <si>
    <t>inflacion historica</t>
  </si>
  <si>
    <t>aumento nominal de admon y ventas</t>
  </si>
  <si>
    <t>G. admon y ventas</t>
  </si>
  <si>
    <t>aumento reaal de la admon y ventas</t>
  </si>
  <si>
    <t xml:space="preserve">o. laborales </t>
  </si>
  <si>
    <t>depreciacion</t>
  </si>
  <si>
    <t>G.G</t>
  </si>
  <si>
    <t>incrementeo real de los G.G</t>
  </si>
  <si>
    <t>Política de inventario como % de unidades vendidas del año.</t>
  </si>
  <si>
    <t>aumento precio real de venta</t>
  </si>
  <si>
    <t>Compras</t>
  </si>
  <si>
    <t xml:space="preserve"> costo de venta como % de las ventas</t>
  </si>
  <si>
    <t xml:space="preserve"> Inventario final</t>
  </si>
  <si>
    <t>Inversion Activos fijos AF</t>
  </si>
  <si>
    <t>incremento nominal de los G.G</t>
  </si>
  <si>
    <t>aumento nominal de los gastos de nomina</t>
  </si>
  <si>
    <t>aumento real de los gastos de nomina</t>
  </si>
  <si>
    <t>Purchases paid the current year. Compras pagadas en el año</t>
  </si>
  <si>
    <t>Payment of Accounts Payable. Pago de cuentas por pagar</t>
  </si>
  <si>
    <t>ANALISIS ANTONIO ARAUJO &amp; CIA S.A</t>
  </si>
  <si>
    <t>ANALISIS DEL SUBSECTOR 29</t>
  </si>
  <si>
    <t>ST investments.</t>
  </si>
  <si>
    <t>otros activos corrientes</t>
  </si>
  <si>
    <t>ACTIVO NO CORRIENTE</t>
  </si>
  <si>
    <t>otrs activos no corrientes</t>
  </si>
  <si>
    <t>gastos operacionales</t>
  </si>
  <si>
    <t>short term (ST) years loan 2 (term 1 year) prestamo a corto plazo (plazo 1 año)</t>
  </si>
  <si>
    <t>Long term (LT) years Loan 1 at (Term 10 years)  Préstamo a largo plazo (Plazo 10 años)</t>
  </si>
  <si>
    <t>Total activos</t>
  </si>
  <si>
    <t>pasivos conrrientes estimados</t>
  </si>
  <si>
    <t>diferidos a cortos plazo</t>
  </si>
  <si>
    <t>reservas</t>
  </si>
  <si>
    <t>revalorizacion del patrimonio</t>
  </si>
  <si>
    <t>resultado del ejercicio</t>
  </si>
  <si>
    <t>resultado del ejercicios anteriores</t>
  </si>
  <si>
    <t>superavit</t>
  </si>
  <si>
    <t>RAZONES DE LIQUIDES</t>
  </si>
  <si>
    <t>Deprec Invtmt yr 0</t>
  </si>
  <si>
    <t xml:space="preserve"> Cuentas Corrientes Comerciales</t>
  </si>
  <si>
    <t>Anticipos y Avances</t>
  </si>
  <si>
    <t>Antic Imptos y Contrib o Saldos a Favor</t>
  </si>
  <si>
    <t>Cuentas x Cobrar a Trabajadores</t>
  </si>
  <si>
    <t>ingreso cuentas x cobrar a trabajadores</t>
  </si>
  <si>
    <t>Deudores Varios (CP)</t>
  </si>
  <si>
    <t xml:space="preserve"> Retenciones y Aportes de Nomina</t>
  </si>
  <si>
    <t>Retencion en la Fuente</t>
  </si>
  <si>
    <t>mpuesto a las Ventas Retenido</t>
  </si>
  <si>
    <t>Impuesto de Industria y Comercio Retenido</t>
  </si>
  <si>
    <t xml:space="preserve">Acreedores Varios </t>
  </si>
  <si>
    <t xml:space="preserve">Anticipos y Avances Recibidos </t>
  </si>
  <si>
    <t xml:space="preserve">1380 Deudores Varios </t>
  </si>
  <si>
    <t>impuestos gravemen y tasas</t>
  </si>
  <si>
    <t>PASIVO NO CORRIENTE</t>
  </si>
  <si>
    <t>TOTAL LIABILITIES. PASIVOS TOTALES</t>
  </si>
  <si>
    <t>CURRENT ASSETS. ACTIVOS CORRIENTES</t>
  </si>
  <si>
    <t>INVENTORY. INVENTARIO</t>
  </si>
  <si>
    <t>CURRENT LIABILITIES. PASIVOS CORRIENTES</t>
  </si>
  <si>
    <t>EQUITY. PATRIMONIO</t>
  </si>
  <si>
    <t>TOTAL LIABILITIES AND EQUITY. TOTAL PASIVOS Y PATRIMONIO</t>
  </si>
  <si>
    <t>New debt ST. Nueva deuda CP.</t>
  </si>
  <si>
    <t>Utilidad Neta</t>
  </si>
  <si>
    <t>Debt ST. Deuda CP</t>
  </si>
  <si>
    <t>New loan year 1. Nuevo préstamo en año 1</t>
  </si>
  <si>
    <t>Principal payment loan yr 6</t>
  </si>
  <si>
    <t>New loan year 2. Nuevo préstamo en año 2</t>
  </si>
  <si>
    <t>Principal payment loan yr 1</t>
  </si>
  <si>
    <t>Principal payment loan yr 2</t>
  </si>
  <si>
    <t>New loan year 2. Nuevo préstamo en año 3</t>
  </si>
  <si>
    <t>Principal payment loan yr 3</t>
  </si>
  <si>
    <t>New loan year 2. Nuevo préstamo en año 4</t>
  </si>
  <si>
    <t>Principal payment loan yr 4</t>
  </si>
  <si>
    <t>New loan year 1. Nuevo préstamo en año 5</t>
  </si>
  <si>
    <t>Principal payment loan yr 5</t>
  </si>
  <si>
    <t>New loan year 2. Nuevo préstamo en año 6</t>
  </si>
  <si>
    <t>New loan year 2. Nuevo préstamo en año 7</t>
  </si>
  <si>
    <t>Principal payment loan yr 7</t>
  </si>
  <si>
    <t>New loan year 2. Nuevo préstamo en año 8</t>
  </si>
  <si>
    <t>Principal payment loan yr 8</t>
  </si>
  <si>
    <t>New loan year 2. Nuevo préstamo en año 9</t>
  </si>
  <si>
    <t>Total Interest on new LT debt. Pago total de intereses deuda nueva LP</t>
  </si>
  <si>
    <t>Total principal payment LT Abonos a capital  totales LP</t>
  </si>
  <si>
    <t>Ending balance LT debt. Saldo final deuda LP</t>
  </si>
  <si>
    <t>Promedio Proyectado</t>
  </si>
  <si>
    <t>Promedio Historico</t>
  </si>
  <si>
    <t>promedio subsector</t>
  </si>
  <si>
    <t>Initial inventory. Inventario inicial</t>
  </si>
  <si>
    <t>ANALISIS VERTICAL- E.R</t>
  </si>
  <si>
    <t>ANALISIS VERTICAL- BG</t>
  </si>
  <si>
    <t>ANALISIS HORIZONTAL- APARETNE B.G</t>
  </si>
  <si>
    <t>ANALISIS HORIZONTAL- APARENTE E.R</t>
  </si>
  <si>
    <t>ANALISIS HORIZONTAL- REAL B.G</t>
  </si>
  <si>
    <t>ANALISIS HORIZONTAL- REAL E.R</t>
  </si>
  <si>
    <t>Promedio</t>
  </si>
  <si>
    <t>ANALISIS DE DOS VARIABLES</t>
  </si>
  <si>
    <t>Creado por Juan Duque el 14/05/2011
Modificado por Juan Duque el 14/05/2011
Modificado por Juan Duque el 15/05/2011</t>
  </si>
  <si>
    <t>Resumen de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</si>
  <si>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</si>
  <si>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</si>
  <si>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</si>
  <si>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</si>
  <si>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</si>
  <si>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</si>
  <si>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UTILIDAD NETA</t>
  </si>
  <si>
    <t>PRESTAMOS CORTO PLAZO</t>
  </si>
  <si>
    <t xml:space="preserve"> Cuentas por cobrar CxC como % de ventas.</t>
  </si>
  <si>
    <t>COMPORTAMIENTO</t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</si>
</sst>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#,##0.000"/>
    <numFmt numFmtId="166" formatCode="#,##0.0"/>
    <numFmt numFmtId="167" formatCode="_ * #,##0.00_ ;_ * \-#,##0.00_ ;_ * &quot;-&quot;??_ ;_ @_ "/>
    <numFmt numFmtId="168" formatCode="0.0"/>
    <numFmt numFmtId="169" formatCode="0.0%"/>
    <numFmt numFmtId="170" formatCode="#,##0.0_);\(#,##0.0\)"/>
    <numFmt numFmtId="171" formatCode="0.000000%"/>
    <numFmt numFmtId="172" formatCode="_(&quot;$&quot;\ * #,##0_);_(&quot;$&quot;\ * \(#,##0\);_(&quot;$&quot;\ * &quot;-&quot;??_);_(@_)"/>
    <numFmt numFmtId="173" formatCode="General_)"/>
    <numFmt numFmtId="174" formatCode="dd\-mmm\-yy_)"/>
    <numFmt numFmtId="175" formatCode="0_)"/>
    <numFmt numFmtId="176" formatCode="_-* #,##0.00_-;\-* #,##0.00_-;_-* &quot;-&quot;??_-;_-@_-"/>
    <numFmt numFmtId="177" formatCode="_(* #,##0_);_(* \(#,##0\);_(* &quot;-&quot;??_);_(@_)"/>
    <numFmt numFmtId="178" formatCode="0.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9900CC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BDBDB"/>
      </left>
      <right/>
      <top style="thin">
        <color rgb="FFDBDBDB"/>
      </top>
      <bottom style="thin">
        <color rgb="FFDBDBD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DBDBDB"/>
      </right>
      <top style="medium">
        <color indexed="64"/>
      </top>
      <bottom style="thin">
        <color rgb="FFDBDBDB"/>
      </bottom>
      <diagonal/>
    </border>
    <border>
      <left style="thin">
        <color rgb="FFDBDBDB"/>
      </left>
      <right style="thin">
        <color rgb="FFDBDBDB"/>
      </right>
      <top style="medium">
        <color indexed="64"/>
      </top>
      <bottom style="thin">
        <color rgb="FFDBDBDB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medium">
        <color indexed="64"/>
      </left>
      <right style="thin">
        <color rgb="FFDBDBDB"/>
      </right>
      <top style="thin">
        <color rgb="FFDBDBDB"/>
      </top>
      <bottom style="medium">
        <color indexed="64"/>
      </bottom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BDBDB"/>
      </bottom>
      <diagonal/>
    </border>
    <border>
      <left style="medium">
        <color indexed="64"/>
      </left>
      <right style="medium">
        <color indexed="64"/>
      </right>
      <top style="thin">
        <color rgb="FFDBDBDB"/>
      </top>
      <bottom style="thin">
        <color rgb="FFDBDBDB"/>
      </bottom>
      <diagonal/>
    </border>
    <border>
      <left style="medium">
        <color indexed="64"/>
      </left>
      <right style="medium">
        <color indexed="64"/>
      </right>
      <top style="thin">
        <color rgb="FFDBDBDB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DBDBDB"/>
      </left>
      <right style="medium">
        <color indexed="64"/>
      </right>
      <top style="medium">
        <color indexed="64"/>
      </top>
      <bottom style="thin">
        <color rgb="FFDBDBDB"/>
      </bottom>
      <diagonal/>
    </border>
    <border>
      <left style="thin">
        <color rgb="FFDBDBDB"/>
      </left>
      <right style="medium">
        <color indexed="64"/>
      </right>
      <top style="thin">
        <color rgb="FFDBDBDB"/>
      </top>
      <bottom style="thin">
        <color rgb="FFDBDBDB"/>
      </bottom>
      <diagonal/>
    </border>
    <border>
      <left style="thin">
        <color rgb="FFDBDBDB"/>
      </left>
      <right style="medium">
        <color indexed="64"/>
      </right>
      <top style="thin">
        <color rgb="FFDBDBDB"/>
      </top>
      <bottom style="medium">
        <color indexed="64"/>
      </bottom>
      <diagonal/>
    </border>
    <border>
      <left/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DBDBDB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DBDBDB"/>
      </right>
      <top/>
      <bottom style="thin">
        <color rgb="FFDBDBDB"/>
      </bottom>
      <diagonal/>
    </border>
    <border>
      <left style="thin">
        <color rgb="FFDBDBDB"/>
      </left>
      <right style="thin">
        <color rgb="FFDBDBDB"/>
      </right>
      <top/>
      <bottom style="thin">
        <color rgb="FFDBDBDB"/>
      </bottom>
      <diagonal/>
    </border>
    <border>
      <left style="thin">
        <color rgb="FFDBDBDB"/>
      </left>
      <right style="medium">
        <color indexed="64"/>
      </right>
      <top/>
      <bottom style="thin">
        <color rgb="FFDBDBDB"/>
      </bottom>
      <diagonal/>
    </border>
    <border>
      <left style="medium">
        <color indexed="64"/>
      </left>
      <right/>
      <top style="medium">
        <color indexed="64"/>
      </top>
      <bottom style="thin">
        <color rgb="FFDBDBDB"/>
      </bottom>
      <diagonal/>
    </border>
    <border>
      <left style="medium">
        <color indexed="64"/>
      </left>
      <right/>
      <top style="thin">
        <color rgb="FFDBDBDB"/>
      </top>
      <bottom style="thin">
        <color rgb="FFDBDBDB"/>
      </bottom>
      <diagonal/>
    </border>
    <border>
      <left style="medium">
        <color indexed="64"/>
      </left>
      <right/>
      <top style="thin">
        <color rgb="FFDBDBDB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4" applyNumberFormat="0" applyFill="0" applyAlignment="0" applyProtection="0"/>
    <xf numFmtId="0" fontId="1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37" applyNumberFormat="0" applyAlignment="0" applyProtection="0"/>
    <xf numFmtId="0" fontId="16" fillId="19" borderId="38" applyNumberFormat="0" applyAlignment="0" applyProtection="0"/>
    <xf numFmtId="0" fontId="17" fillId="19" borderId="37" applyNumberFormat="0" applyAlignment="0" applyProtection="0"/>
    <xf numFmtId="0" fontId="18" fillId="0" borderId="39" applyNumberFormat="0" applyFill="0" applyAlignment="0" applyProtection="0"/>
    <xf numFmtId="0" fontId="19" fillId="20" borderId="40" applyNumberFormat="0" applyAlignment="0" applyProtection="0"/>
    <xf numFmtId="0" fontId="20" fillId="0" borderId="0" applyNumberFormat="0" applyFill="0" applyBorder="0" applyAlignment="0" applyProtection="0"/>
    <xf numFmtId="0" fontId="1" fillId="21" borderId="41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42" applyNumberFormat="0" applyFill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</cellStyleXfs>
  <cellXfs count="7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0" fillId="0" borderId="17" xfId="0" applyBorder="1"/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 wrapText="1"/>
    </xf>
    <xf numFmtId="0" fontId="0" fillId="0" borderId="1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37" fontId="0" fillId="0" borderId="17" xfId="0" applyNumberFormat="1" applyBorder="1" applyAlignment="1">
      <alignment horizontal="center" vertical="center"/>
    </xf>
    <xf numFmtId="37" fontId="0" fillId="0" borderId="6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0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26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10" fontId="0" fillId="0" borderId="27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10" fontId="0" fillId="0" borderId="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10" fontId="0" fillId="0" borderId="6" xfId="0" applyNumberForma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10" fontId="0" fillId="0" borderId="26" xfId="1" applyNumberFormat="1" applyFont="1" applyBorder="1" applyAlignment="1">
      <alignment horizontal="center" vertical="center" wrapText="1"/>
    </xf>
    <xf numFmtId="10" fontId="0" fillId="0" borderId="13" xfId="1" applyNumberFormat="1" applyFont="1" applyBorder="1" applyAlignment="1">
      <alignment horizontal="center" vertical="center" wrapText="1"/>
    </xf>
    <xf numFmtId="10" fontId="0" fillId="0" borderId="21" xfId="1" applyNumberFormat="1" applyFont="1" applyBorder="1" applyAlignment="1">
      <alignment horizontal="center" vertical="center" wrapText="1"/>
    </xf>
    <xf numFmtId="10" fontId="0" fillId="0" borderId="27" xfId="1" applyNumberFormat="1" applyFont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10" fontId="0" fillId="0" borderId="28" xfId="1" applyNumberFormat="1" applyFont="1" applyBorder="1" applyAlignment="1">
      <alignment horizontal="center" vertical="center" wrapText="1"/>
    </xf>
    <xf numFmtId="10" fontId="0" fillId="0" borderId="29" xfId="1" applyNumberFormat="1" applyFont="1" applyBorder="1" applyAlignment="1">
      <alignment horizontal="center" vertical="center" wrapText="1"/>
    </xf>
    <xf numFmtId="10" fontId="0" fillId="0" borderId="17" xfId="1" applyNumberFormat="1" applyFont="1" applyBorder="1" applyAlignment="1">
      <alignment horizontal="center" vertical="center" wrapText="1"/>
    </xf>
    <xf numFmtId="10" fontId="0" fillId="0" borderId="30" xfId="1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0" fontId="0" fillId="0" borderId="17" xfId="2" applyNumberFormat="1" applyFont="1" applyBorder="1" applyAlignment="1">
      <alignment horizontal="center" vertical="center" wrapText="1"/>
    </xf>
    <xf numFmtId="164" fontId="0" fillId="0" borderId="13" xfId="2" applyFont="1" applyBorder="1" applyAlignment="1">
      <alignment horizontal="center" vertical="center" wrapText="1"/>
    </xf>
    <xf numFmtId="164" fontId="0" fillId="0" borderId="9" xfId="2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quotePrefix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13" xfId="0" applyBorder="1"/>
    <xf numFmtId="0" fontId="0" fillId="0" borderId="3" xfId="0" applyBorder="1"/>
    <xf numFmtId="0" fontId="0" fillId="0" borderId="4" xfId="0" applyBorder="1"/>
    <xf numFmtId="3" fontId="3" fillId="0" borderId="24" xfId="2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10" fontId="0" fillId="0" borderId="13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0" fontId="0" fillId="0" borderId="0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" xfId="0" applyNumberFormat="1" applyBorder="1"/>
    <xf numFmtId="9" fontId="0" fillId="0" borderId="9" xfId="0" applyNumberFormat="1" applyBorder="1" applyAlignment="1">
      <alignment horizontal="center" vertical="center" wrapText="1"/>
    </xf>
    <xf numFmtId="10" fontId="0" fillId="0" borderId="10" xfId="1" applyNumberFormat="1" applyFont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10" fontId="0" fillId="0" borderId="10" xfId="0" applyNumberFormat="1" applyBorder="1"/>
    <xf numFmtId="10" fontId="0" fillId="0" borderId="6" xfId="0" applyNumberFormat="1" applyBorder="1"/>
    <xf numFmtId="3" fontId="0" fillId="0" borderId="7" xfId="0" applyNumberFormat="1" applyBorder="1" applyAlignment="1">
      <alignment horizontal="center" vertical="center"/>
    </xf>
    <xf numFmtId="10" fontId="0" fillId="0" borderId="7" xfId="1" applyNumberFormat="1" applyFont="1" applyBorder="1"/>
    <xf numFmtId="172" fontId="0" fillId="0" borderId="13" xfId="2" applyNumberFormat="1" applyFont="1" applyBorder="1"/>
    <xf numFmtId="172" fontId="0" fillId="0" borderId="0" xfId="2" applyNumberFormat="1" applyFont="1" applyBorder="1"/>
    <xf numFmtId="0" fontId="0" fillId="0" borderId="7" xfId="0" applyFill="1" applyBorder="1" applyAlignment="1">
      <alignment horizontal="center" vertical="center" wrapText="1"/>
    </xf>
    <xf numFmtId="10" fontId="0" fillId="0" borderId="10" xfId="1" applyNumberFormat="1" applyFont="1" applyBorder="1"/>
    <xf numFmtId="172" fontId="3" fillId="0" borderId="18" xfId="2" applyNumberFormat="1" applyFont="1" applyBorder="1" applyAlignment="1">
      <alignment horizontal="center" vertical="center" wrapText="1"/>
    </xf>
    <xf numFmtId="172" fontId="3" fillId="0" borderId="19" xfId="2" applyNumberFormat="1" applyFont="1" applyBorder="1" applyAlignment="1">
      <alignment horizontal="center" vertical="center" wrapText="1"/>
    </xf>
    <xf numFmtId="172" fontId="0" fillId="0" borderId="10" xfId="2" applyNumberFormat="1" applyFont="1" applyBorder="1" applyAlignment="1">
      <alignment horizontal="center" vertical="center" wrapText="1"/>
    </xf>
    <xf numFmtId="172" fontId="3" fillId="0" borderId="20" xfId="2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0" fontId="33" fillId="0" borderId="7" xfId="1" applyNumberFormat="1" applyFont="1" applyFill="1" applyBorder="1"/>
    <xf numFmtId="0" fontId="0" fillId="0" borderId="3" xfId="0" applyBorder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9" fontId="0" fillId="0" borderId="30" xfId="0" applyNumberFormat="1" applyBorder="1" applyAlignment="1">
      <alignment horizontal="center" vertical="center" wrapText="1"/>
    </xf>
    <xf numFmtId="10" fontId="0" fillId="0" borderId="7" xfId="0" applyNumberFormat="1" applyBorder="1" applyAlignment="1">
      <alignment horizontal="center" vertical="center" wrapText="1"/>
    </xf>
    <xf numFmtId="0" fontId="0" fillId="0" borderId="10" xfId="0" applyBorder="1"/>
    <xf numFmtId="9" fontId="0" fillId="0" borderId="10" xfId="0" applyNumberFormat="1" applyBorder="1" applyAlignment="1">
      <alignment horizontal="center" vertical="center" wrapText="1"/>
    </xf>
    <xf numFmtId="169" fontId="0" fillId="0" borderId="10" xfId="1" applyNumberFormat="1" applyFont="1" applyBorder="1"/>
    <xf numFmtId="169" fontId="0" fillId="0" borderId="6" xfId="1" applyNumberFormat="1" applyFont="1" applyBorder="1"/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0" fillId="0" borderId="6" xfId="1" applyNumberFormat="1" applyFont="1" applyBorder="1"/>
    <xf numFmtId="10" fontId="0" fillId="0" borderId="3" xfId="1" applyNumberFormat="1" applyFont="1" applyBorder="1"/>
    <xf numFmtId="3" fontId="0" fillId="0" borderId="7" xfId="0" applyNumberFormat="1" applyBorder="1"/>
    <xf numFmtId="10" fontId="0" fillId="0" borderId="2" xfId="1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center"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10" fontId="0" fillId="0" borderId="9" xfId="1" applyNumberFormat="1" applyFont="1" applyBorder="1"/>
    <xf numFmtId="173" fontId="36" fillId="51" borderId="43" xfId="0" applyNumberFormat="1" applyFont="1" applyFill="1" applyBorder="1" applyAlignment="1" applyProtection="1">
      <alignment horizontal="centerContinuous" vertical="center"/>
    </xf>
    <xf numFmtId="173" fontId="36" fillId="51" borderId="43" xfId="0" applyNumberFormat="1" applyFont="1" applyFill="1" applyBorder="1" applyAlignment="1" applyProtection="1">
      <alignment horizontal="center" vertical="center"/>
    </xf>
    <xf numFmtId="173" fontId="36" fillId="51" borderId="43" xfId="0" applyNumberFormat="1" applyFont="1" applyFill="1" applyBorder="1" applyAlignment="1">
      <alignment vertical="center"/>
    </xf>
    <xf numFmtId="174" fontId="37" fillId="0" borderId="44" xfId="0" applyNumberFormat="1" applyFont="1" applyBorder="1" applyProtection="1"/>
    <xf numFmtId="4" fontId="37" fillId="0" borderId="44" xfId="0" applyNumberFormat="1" applyFont="1" applyBorder="1" applyProtection="1"/>
    <xf numFmtId="165" fontId="37" fillId="0" borderId="44" xfId="0" applyNumberFormat="1" applyFont="1" applyBorder="1" applyProtection="1"/>
    <xf numFmtId="165" fontId="37" fillId="52" borderId="7" xfId="0" applyNumberFormat="1" applyFont="1" applyFill="1" applyBorder="1" applyProtection="1"/>
    <xf numFmtId="4" fontId="37" fillId="52" borderId="7" xfId="0" applyNumberFormat="1" applyFont="1" applyFill="1" applyBorder="1" applyProtection="1"/>
    <xf numFmtId="173" fontId="36" fillId="51" borderId="44" xfId="0" applyNumberFormat="1" applyFont="1" applyFill="1" applyBorder="1" applyAlignment="1" applyProtection="1">
      <alignment horizontal="center" vertical="center"/>
    </xf>
    <xf numFmtId="173" fontId="38" fillId="0" borderId="0" xfId="0" applyNumberFormat="1" applyFont="1"/>
    <xf numFmtId="0" fontId="39" fillId="51" borderId="26" xfId="0" applyFont="1" applyFill="1" applyBorder="1" applyAlignment="1" applyProtection="1">
      <alignment horizontal="centerContinuous"/>
    </xf>
    <xf numFmtId="0" fontId="39" fillId="51" borderId="13" xfId="0" applyFont="1" applyFill="1" applyBorder="1" applyAlignment="1" applyProtection="1">
      <alignment horizontal="centerContinuous"/>
    </xf>
    <xf numFmtId="0" fontId="39" fillId="51" borderId="21" xfId="0" applyFont="1" applyFill="1" applyBorder="1" applyAlignment="1" applyProtection="1">
      <alignment horizontal="centerContinuous"/>
    </xf>
    <xf numFmtId="0" fontId="39" fillId="51" borderId="27" xfId="0" applyFont="1" applyFill="1" applyBorder="1" applyAlignment="1" applyProtection="1">
      <alignment horizontal="centerContinuous"/>
    </xf>
    <xf numFmtId="0" fontId="39" fillId="51" borderId="0" xfId="0" applyFont="1" applyFill="1" applyBorder="1" applyAlignment="1" applyProtection="1">
      <alignment horizontal="centerContinuous"/>
    </xf>
    <xf numFmtId="0" fontId="39" fillId="51" borderId="28" xfId="0" applyFont="1" applyFill="1" applyBorder="1" applyAlignment="1" applyProtection="1">
      <alignment horizontal="centerContinuous"/>
    </xf>
    <xf numFmtId="0" fontId="39" fillId="51" borderId="45" xfId="0" applyFont="1" applyFill="1" applyBorder="1" applyAlignment="1" applyProtection="1">
      <alignment horizontal="center"/>
    </xf>
    <xf numFmtId="0" fontId="39" fillId="51" borderId="46" xfId="0" applyFont="1" applyFill="1" applyBorder="1" applyAlignment="1" applyProtection="1">
      <alignment horizontal="center"/>
    </xf>
    <xf numFmtId="0" fontId="39" fillId="51" borderId="49" xfId="0" applyFont="1" applyFill="1" applyBorder="1" applyAlignment="1" applyProtection="1">
      <alignment horizontal="centerContinuous"/>
    </xf>
    <xf numFmtId="175" fontId="40" fillId="0" borderId="27" xfId="0" applyNumberFormat="1" applyFont="1" applyFill="1" applyBorder="1"/>
    <xf numFmtId="0" fontId="40" fillId="0" borderId="47" xfId="0" applyFont="1" applyFill="1" applyBorder="1"/>
    <xf numFmtId="49" fontId="40" fillId="0" borderId="48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>
      <alignment horizontal="center"/>
    </xf>
    <xf numFmtId="49" fontId="40" fillId="0" borderId="47" xfId="0" applyNumberFormat="1" applyFont="1" applyFill="1" applyBorder="1" applyAlignment="1" applyProtection="1">
      <alignment horizontal="left"/>
    </xf>
    <xf numFmtId="2" fontId="40" fillId="0" borderId="50" xfId="0" applyNumberFormat="1" applyFont="1" applyFill="1" applyBorder="1"/>
    <xf numFmtId="2" fontId="40" fillId="0" borderId="28" xfId="0" applyNumberFormat="1" applyFont="1" applyFill="1" applyBorder="1"/>
    <xf numFmtId="49" fontId="40" fillId="0" borderId="48" xfId="0" quotePrefix="1" applyNumberFormat="1" applyFont="1" applyFill="1" applyBorder="1" applyAlignment="1" applyProtection="1">
      <alignment horizontal="right"/>
    </xf>
    <xf numFmtId="49" fontId="40" fillId="0" borderId="47" xfId="0" quotePrefix="1" applyNumberFormat="1" applyFont="1" applyFill="1" applyBorder="1" applyAlignment="1" applyProtection="1">
      <alignment horizontal="left"/>
    </xf>
    <xf numFmtId="0" fontId="40" fillId="0" borderId="0" xfId="0" quotePrefix="1" applyFont="1" applyFill="1" applyBorder="1" applyAlignment="1">
      <alignment horizontal="center"/>
    </xf>
    <xf numFmtId="2" fontId="40" fillId="52" borderId="7" xfId="0" applyNumberFormat="1" applyFont="1" applyFill="1" applyBorder="1"/>
    <xf numFmtId="0" fontId="0" fillId="0" borderId="47" xfId="0" applyBorder="1"/>
    <xf numFmtId="49" fontId="40" fillId="0" borderId="0" xfId="0" applyNumberFormat="1" applyFont="1" applyFill="1" applyBorder="1" applyAlignment="1" applyProtection="1">
      <alignment horizontal="right"/>
    </xf>
    <xf numFmtId="0" fontId="40" fillId="0" borderId="0" xfId="0" applyFont="1" applyBorder="1" applyAlignment="1">
      <alignment horizontal="center"/>
    </xf>
    <xf numFmtId="49" fontId="40" fillId="0" borderId="0" xfId="0" quotePrefix="1" applyNumberFormat="1" applyFont="1" applyFill="1" applyBorder="1" applyAlignment="1" applyProtection="1">
      <alignment horizontal="right"/>
    </xf>
    <xf numFmtId="49" fontId="40" fillId="0" borderId="0" xfId="0" applyNumberFormat="1" applyFont="1" applyBorder="1" applyAlignment="1">
      <alignment horizontal="center"/>
    </xf>
    <xf numFmtId="175" fontId="40" fillId="0" borderId="27" xfId="0" applyNumberFormat="1" applyFont="1" applyFill="1" applyBorder="1" applyAlignment="1">
      <alignment horizontal="right"/>
    </xf>
    <xf numFmtId="0" fontId="0" fillId="0" borderId="47" xfId="0" quotePrefix="1" applyBorder="1"/>
    <xf numFmtId="173" fontId="35" fillId="0" borderId="0" xfId="0" applyNumberFormat="1" applyFont="1"/>
    <xf numFmtId="0" fontId="30" fillId="0" borderId="0" xfId="0" applyFont="1"/>
    <xf numFmtId="0" fontId="42" fillId="53" borderId="7" xfId="0" applyNumberFormat="1" applyFont="1" applyFill="1" applyBorder="1" applyAlignment="1">
      <alignment horizontal="center"/>
    </xf>
    <xf numFmtId="0" fontId="0" fillId="0" borderId="26" xfId="0" applyNumberFormat="1" applyBorder="1" applyAlignment="1">
      <alignment horizontal="right"/>
    </xf>
    <xf numFmtId="2" fontId="0" fillId="0" borderId="26" xfId="0" applyNumberFormat="1" applyBorder="1"/>
    <xf numFmtId="3" fontId="0" fillId="0" borderId="9" xfId="0" applyNumberFormat="1" applyBorder="1"/>
    <xf numFmtId="0" fontId="0" fillId="0" borderId="27" xfId="0" applyNumberFormat="1" applyBorder="1" applyAlignment="1">
      <alignment horizontal="right"/>
    </xf>
    <xf numFmtId="2" fontId="0" fillId="0" borderId="27" xfId="0" applyNumberFormat="1" applyBorder="1"/>
    <xf numFmtId="3" fontId="0" fillId="0" borderId="10" xfId="0" applyNumberFormat="1" applyBorder="1"/>
    <xf numFmtId="0" fontId="43" fillId="52" borderId="2" xfId="0" applyNumberFormat="1" applyFont="1" applyFill="1" applyBorder="1" applyAlignment="1">
      <alignment horizontal="right"/>
    </xf>
    <xf numFmtId="2" fontId="0" fillId="52" borderId="2" xfId="0" applyNumberFormat="1" applyFill="1" applyBorder="1"/>
    <xf numFmtId="4" fontId="0" fillId="0" borderId="27" xfId="0" applyNumberFormat="1" applyBorder="1"/>
    <xf numFmtId="4" fontId="0" fillId="52" borderId="2" xfId="0" applyNumberFormat="1" applyFill="1" applyBorder="1"/>
    <xf numFmtId="176" fontId="0" fillId="0" borderId="27" xfId="48" applyNumberFormat="1" applyFont="1" applyBorder="1"/>
    <xf numFmtId="3" fontId="0" fillId="0" borderId="10" xfId="48" applyNumberFormat="1" applyFont="1" applyBorder="1"/>
    <xf numFmtId="0" fontId="43" fillId="0" borderId="27" xfId="0" applyNumberFormat="1" applyFont="1" applyFill="1" applyBorder="1" applyAlignment="1">
      <alignment horizontal="right"/>
    </xf>
    <xf numFmtId="0" fontId="43" fillId="9" borderId="2" xfId="0" applyNumberFormat="1" applyFont="1" applyFill="1" applyBorder="1" applyAlignment="1">
      <alignment horizontal="right"/>
    </xf>
    <xf numFmtId="4" fontId="0" fillId="9" borderId="2" xfId="0" applyNumberFormat="1" applyFill="1" applyBorder="1"/>
    <xf numFmtId="4" fontId="0" fillId="0" borderId="6" xfId="0" applyNumberFormat="1" applyBorder="1"/>
    <xf numFmtId="4" fontId="37" fillId="9" borderId="7" xfId="0" applyNumberFormat="1" applyFont="1" applyFill="1" applyBorder="1" applyProtection="1"/>
    <xf numFmtId="0" fontId="2" fillId="0" borderId="7" xfId="0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21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75" fontId="39" fillId="51" borderId="26" xfId="0" applyNumberFormat="1" applyFont="1" applyFill="1" applyBorder="1" applyAlignment="1" applyProtection="1">
      <alignment horizontal="centerContinuous"/>
    </xf>
    <xf numFmtId="175" fontId="39" fillId="51" borderId="13" xfId="0" applyNumberFormat="1" applyFont="1" applyFill="1" applyBorder="1" applyAlignment="1" applyProtection="1">
      <alignment horizontal="centerContinuous"/>
    </xf>
    <xf numFmtId="175" fontId="39" fillId="51" borderId="2" xfId="0" applyNumberFormat="1" applyFont="1" applyFill="1" applyBorder="1" applyAlignment="1" applyProtection="1">
      <alignment horizontal="left"/>
    </xf>
    <xf numFmtId="0" fontId="39" fillId="51" borderId="4" xfId="0" applyFont="1" applyFill="1" applyBorder="1" applyAlignment="1" applyProtection="1">
      <alignment horizontal="left"/>
    </xf>
    <xf numFmtId="0" fontId="39" fillId="51" borderId="51" xfId="0" applyFont="1" applyFill="1" applyBorder="1" applyAlignment="1" applyProtection="1">
      <alignment horizontal="centerContinuous"/>
    </xf>
    <xf numFmtId="175" fontId="39" fillId="51" borderId="52" xfId="0" applyNumberFormat="1" applyFont="1" applyFill="1" applyBorder="1" applyAlignment="1" applyProtection="1">
      <alignment horizontal="centerContinuous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0" fillId="0" borderId="7" xfId="0" applyBorder="1"/>
    <xf numFmtId="10" fontId="0" fillId="0" borderId="7" xfId="0" applyNumberFormat="1" applyBorder="1" applyAlignment="1">
      <alignment horizontal="center"/>
    </xf>
    <xf numFmtId="0" fontId="0" fillId="0" borderId="13" xfId="0" applyBorder="1"/>
    <xf numFmtId="0" fontId="0" fillId="0" borderId="21" xfId="0" applyBorder="1"/>
    <xf numFmtId="0" fontId="0" fillId="0" borderId="3" xfId="0" applyBorder="1"/>
    <xf numFmtId="0" fontId="0" fillId="0" borderId="4" xfId="0" applyBorder="1"/>
    <xf numFmtId="9" fontId="0" fillId="0" borderId="0" xfId="1" applyFont="1"/>
    <xf numFmtId="43" fontId="0" fillId="0" borderId="0" xfId="48" applyFont="1"/>
    <xf numFmtId="43" fontId="0" fillId="0" borderId="0" xfId="0" applyNumberFormat="1"/>
    <xf numFmtId="9" fontId="22" fillId="0" borderId="0" xfId="1" applyFont="1" applyBorder="1"/>
    <xf numFmtId="172" fontId="22" fillId="0" borderId="0" xfId="0" applyNumberFormat="1" applyFont="1" applyBorder="1"/>
    <xf numFmtId="3" fontId="0" fillId="0" borderId="26" xfId="0" applyNumberFormat="1" applyFill="1" applyBorder="1" applyAlignment="1">
      <alignment horizontal="center" vertical="center"/>
    </xf>
    <xf numFmtId="10" fontId="0" fillId="0" borderId="13" xfId="1" applyNumberFormat="1" applyFont="1" applyBorder="1"/>
    <xf numFmtId="3" fontId="0" fillId="0" borderId="27" xfId="0" applyNumberFormat="1" applyFill="1" applyBorder="1" applyAlignment="1">
      <alignment horizontal="center" vertical="center"/>
    </xf>
    <xf numFmtId="10" fontId="0" fillId="0" borderId="0" xfId="1" applyNumberFormat="1" applyFont="1" applyBorder="1"/>
    <xf numFmtId="3" fontId="0" fillId="0" borderId="29" xfId="0" applyNumberFormat="1" applyFill="1" applyBorder="1" applyAlignment="1">
      <alignment horizontal="center" vertical="center"/>
    </xf>
    <xf numFmtId="10" fontId="0" fillId="0" borderId="17" xfId="1" applyNumberFormat="1" applyFont="1" applyBorder="1"/>
    <xf numFmtId="3" fontId="3" fillId="0" borderId="5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/>
    </xf>
    <xf numFmtId="43" fontId="0" fillId="0" borderId="9" xfId="48" applyFont="1" applyBorder="1"/>
    <xf numFmtId="43" fontId="0" fillId="0" borderId="10" xfId="48" applyFont="1" applyBorder="1"/>
    <xf numFmtId="10" fontId="0" fillId="0" borderId="7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6" xfId="0" applyNumberFormat="1" applyBorder="1"/>
    <xf numFmtId="9" fontId="0" fillId="0" borderId="7" xfId="0" applyNumberFormat="1" applyBorder="1"/>
    <xf numFmtId="0" fontId="2" fillId="0" borderId="2" xfId="0" applyFont="1" applyBorder="1" applyAlignment="1">
      <alignment horizontal="center" vertical="center"/>
    </xf>
    <xf numFmtId="172" fontId="0" fillId="0" borderId="7" xfId="0" applyNumberFormat="1" applyBorder="1"/>
    <xf numFmtId="4" fontId="0" fillId="0" borderId="7" xfId="0" applyNumberFormat="1" applyBorder="1"/>
    <xf numFmtId="10" fontId="33" fillId="0" borderId="30" xfId="1" applyNumberFormat="1" applyFont="1" applyBorder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/>
    <xf numFmtId="0" fontId="34" fillId="0" borderId="7" xfId="0" applyFont="1" applyBorder="1" applyAlignment="1">
      <alignment horizontal="center" vertical="center" wrapText="1"/>
    </xf>
    <xf numFmtId="172" fontId="3" fillId="0" borderId="0" xfId="2" applyNumberFormat="1" applyFont="1" applyBorder="1" applyAlignment="1">
      <alignment horizontal="center" vertical="center" wrapText="1"/>
    </xf>
    <xf numFmtId="172" fontId="0" fillId="0" borderId="0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1" fillId="0" borderId="0" xfId="48" applyNumberFormat="1" applyFont="1" applyBorder="1" applyAlignment="1">
      <alignment vertical="center" wrapText="1"/>
    </xf>
    <xf numFmtId="177" fontId="0" fillId="0" borderId="13" xfId="48" applyNumberFormat="1" applyFont="1" applyBorder="1"/>
    <xf numFmtId="43" fontId="0" fillId="0" borderId="13" xfId="48" applyFont="1" applyBorder="1"/>
    <xf numFmtId="43" fontId="0" fillId="0" borderId="0" xfId="48" applyFont="1" applyBorder="1"/>
    <xf numFmtId="10" fontId="0" fillId="0" borderId="28" xfId="1" applyNumberFormat="1" applyFont="1" applyBorder="1"/>
    <xf numFmtId="177" fontId="0" fillId="0" borderId="0" xfId="48" applyNumberFormat="1" applyFont="1" applyBorder="1"/>
    <xf numFmtId="177" fontId="0" fillId="0" borderId="17" xfId="48" applyNumberFormat="1" applyFont="1" applyBorder="1"/>
    <xf numFmtId="43" fontId="0" fillId="0" borderId="17" xfId="48" applyFont="1" applyBorder="1"/>
    <xf numFmtId="10" fontId="0" fillId="0" borderId="30" xfId="1" applyNumberFormat="1" applyFont="1" applyBorder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72" fontId="3" fillId="0" borderId="7" xfId="2" applyNumberFormat="1" applyFont="1" applyBorder="1" applyAlignment="1">
      <alignment horizontal="center" vertical="center" wrapText="1"/>
    </xf>
    <xf numFmtId="177" fontId="0" fillId="0" borderId="2" xfId="48" applyNumberFormat="1" applyFont="1" applyBorder="1" applyAlignment="1">
      <alignment horizontal="center"/>
    </xf>
    <xf numFmtId="177" fontId="0" fillId="0" borderId="7" xfId="48" applyNumberFormat="1" applyFont="1" applyBorder="1" applyAlignment="1">
      <alignment horizontal="center"/>
    </xf>
    <xf numFmtId="177" fontId="0" fillId="0" borderId="3" xfId="48" applyNumberFormat="1" applyFont="1" applyBorder="1" applyAlignment="1">
      <alignment horizontal="center"/>
    </xf>
    <xf numFmtId="177" fontId="0" fillId="0" borderId="4" xfId="48" applyNumberFormat="1" applyFont="1" applyBorder="1" applyAlignment="1">
      <alignment horizontal="center"/>
    </xf>
    <xf numFmtId="9" fontId="0" fillId="0" borderId="27" xfId="0" applyNumberFormat="1" applyBorder="1" applyAlignment="1">
      <alignment horizontal="center" vertical="center" wrapText="1"/>
    </xf>
    <xf numFmtId="9" fontId="0" fillId="0" borderId="29" xfId="0" applyNumberFormat="1" applyBorder="1" applyAlignment="1">
      <alignment horizontal="center" vertical="center" wrapText="1"/>
    </xf>
    <xf numFmtId="169" fontId="0" fillId="0" borderId="21" xfId="1" applyNumberFormat="1" applyFont="1" applyBorder="1" applyAlignment="1">
      <alignment horizontal="center" vertical="center"/>
    </xf>
    <xf numFmtId="169" fontId="0" fillId="0" borderId="28" xfId="1" applyNumberFormat="1" applyFont="1" applyBorder="1" applyAlignment="1">
      <alignment horizontal="center" vertical="center"/>
    </xf>
    <xf numFmtId="169" fontId="0" fillId="0" borderId="30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Fill="1"/>
    <xf numFmtId="0" fontId="37" fillId="0" borderId="0" xfId="44" applyFont="1" applyAlignment="1">
      <alignment horizontal="center"/>
    </xf>
    <xf numFmtId="0" fontId="37" fillId="0" borderId="0" xfId="44" applyFont="1" applyFill="1" applyAlignment="1">
      <alignment horizontal="center"/>
    </xf>
    <xf numFmtId="0" fontId="37" fillId="0" borderId="0" xfId="44" quotePrefix="1" applyFont="1" applyAlignment="1">
      <alignment horizontal="left"/>
    </xf>
    <xf numFmtId="0" fontId="37" fillId="0" borderId="0" xfId="44" applyFont="1" applyAlignment="1">
      <alignment horizontal="left" wrapText="1"/>
    </xf>
    <xf numFmtId="2" fontId="37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center"/>
    </xf>
    <xf numFmtId="0" fontId="37" fillId="0" borderId="0" xfId="44" quotePrefix="1" applyFont="1" applyAlignment="1">
      <alignment horizontal="left" wrapText="1"/>
    </xf>
    <xf numFmtId="0" fontId="37" fillId="0" borderId="0" xfId="0" quotePrefix="1" applyFont="1" applyAlignment="1">
      <alignment horizontal="left"/>
    </xf>
    <xf numFmtId="169" fontId="37" fillId="0" borderId="0" xfId="46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169" fontId="37" fillId="0" borderId="0" xfId="44" applyNumberFormat="1" applyFont="1" applyAlignment="1">
      <alignment horizontal="center"/>
    </xf>
    <xf numFmtId="3" fontId="37" fillId="0" borderId="0" xfId="45" applyNumberFormat="1" applyFont="1" applyAlignment="1">
      <alignment horizontal="center"/>
    </xf>
    <xf numFmtId="0" fontId="37" fillId="0" borderId="0" xfId="0" quotePrefix="1" applyFont="1" applyBorder="1" applyAlignment="1">
      <alignment horizontal="left" wrapText="1"/>
    </xf>
    <xf numFmtId="0" fontId="36" fillId="0" borderId="0" xfId="0" quotePrefix="1" applyFont="1" applyBorder="1" applyAlignment="1">
      <alignment horizontal="left" wrapText="1"/>
    </xf>
    <xf numFmtId="0" fontId="37" fillId="0" borderId="0" xfId="0" quotePrefix="1" applyFont="1" applyBorder="1" applyAlignment="1">
      <alignment horizontal="left" vertical="top" wrapText="1"/>
    </xf>
    <xf numFmtId="0" fontId="36" fillId="0" borderId="0" xfId="0" quotePrefix="1" applyFont="1" applyFill="1" applyBorder="1" applyAlignment="1">
      <alignment horizontal="left"/>
    </xf>
    <xf numFmtId="0" fontId="37" fillId="0" borderId="0" xfId="0" quotePrefix="1" applyFont="1" applyFill="1" applyBorder="1" applyAlignment="1">
      <alignment horizontal="left"/>
    </xf>
    <xf numFmtId="0" fontId="37" fillId="0" borderId="0" xfId="0" quotePrefix="1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0" borderId="0" xfId="0" quotePrefix="1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center" wrapText="1"/>
    </xf>
    <xf numFmtId="0" fontId="36" fillId="48" borderId="7" xfId="0" quotePrefix="1" applyFont="1" applyFill="1" applyBorder="1" applyAlignment="1">
      <alignment horizontal="left" wrapText="1"/>
    </xf>
    <xf numFmtId="0" fontId="36" fillId="48" borderId="7" xfId="0" quotePrefix="1" applyFont="1" applyFill="1" applyBorder="1" applyAlignment="1">
      <alignment horizontal="left" vertical="top" wrapText="1"/>
    </xf>
    <xf numFmtId="0" fontId="36" fillId="48" borderId="7" xfId="0" applyFont="1" applyFill="1" applyBorder="1" applyAlignment="1">
      <alignment horizontal="left" vertical="top" wrapText="1"/>
    </xf>
    <xf numFmtId="0" fontId="36" fillId="47" borderId="7" xfId="44" quotePrefix="1" applyFont="1" applyFill="1" applyBorder="1" applyAlignment="1">
      <alignment horizontal="left" wrapText="1"/>
    </xf>
    <xf numFmtId="0" fontId="36" fillId="49" borderId="7" xfId="44" quotePrefix="1" applyFont="1" applyFill="1" applyBorder="1" applyAlignment="1">
      <alignment horizontal="left" wrapText="1"/>
    </xf>
    <xf numFmtId="9" fontId="37" fillId="0" borderId="0" xfId="0" applyNumberFormat="1" applyFont="1" applyAlignment="1">
      <alignment horizontal="center"/>
    </xf>
    <xf numFmtId="166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44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44" applyFont="1" applyFill="1" applyAlignment="1">
      <alignment horizontal="left"/>
    </xf>
    <xf numFmtId="0" fontId="37" fillId="0" borderId="0" xfId="0" applyFont="1" applyAlignment="1">
      <alignment horizontal="left" wrapText="1"/>
    </xf>
    <xf numFmtId="3" fontId="37" fillId="0" borderId="0" xfId="0" applyNumberFormat="1" applyFont="1" applyAlignment="1">
      <alignment horizontal="left" wrapText="1"/>
    </xf>
    <xf numFmtId="3" fontId="37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10" fontId="37" fillId="0" borderId="0" xfId="0" applyNumberFormat="1" applyFont="1" applyAlignment="1">
      <alignment horizontal="left"/>
    </xf>
    <xf numFmtId="10" fontId="37" fillId="0" borderId="0" xfId="46" applyNumberFormat="1" applyFont="1" applyAlignment="1">
      <alignment horizontal="left"/>
    </xf>
    <xf numFmtId="0" fontId="37" fillId="0" borderId="0" xfId="0" applyFont="1" applyFill="1" applyAlignment="1">
      <alignment horizontal="left"/>
    </xf>
    <xf numFmtId="166" fontId="37" fillId="0" borderId="0" xfId="44" applyNumberFormat="1" applyFont="1" applyAlignment="1">
      <alignment horizontal="left"/>
    </xf>
    <xf numFmtId="3" fontId="37" fillId="0" borderId="0" xfId="44" applyNumberFormat="1" applyFont="1" applyAlignment="1">
      <alignment horizontal="left"/>
    </xf>
    <xf numFmtId="169" fontId="37" fillId="0" borderId="0" xfId="46" applyNumberFormat="1" applyFont="1" applyFill="1" applyAlignment="1">
      <alignment horizontal="left"/>
    </xf>
    <xf numFmtId="169" fontId="37" fillId="0" borderId="0" xfId="1" applyNumberFormat="1" applyFont="1" applyAlignment="1">
      <alignment horizontal="left"/>
    </xf>
    <xf numFmtId="10" fontId="37" fillId="0" borderId="0" xfId="46" applyNumberFormat="1" applyFont="1" applyFill="1" applyAlignment="1">
      <alignment horizontal="left"/>
    </xf>
    <xf numFmtId="0" fontId="37" fillId="50" borderId="0" xfId="44" applyFont="1" applyFill="1" applyAlignment="1">
      <alignment horizontal="left"/>
    </xf>
    <xf numFmtId="10" fontId="37" fillId="0" borderId="0" xfId="44" applyNumberFormat="1" applyFont="1" applyFill="1" applyAlignment="1">
      <alignment horizontal="left"/>
    </xf>
    <xf numFmtId="169" fontId="37" fillId="0" borderId="0" xfId="44" applyNumberFormat="1" applyFont="1" applyFill="1" applyAlignment="1">
      <alignment horizontal="left"/>
    </xf>
    <xf numFmtId="4" fontId="37" fillId="0" borderId="0" xfId="44" applyNumberFormat="1" applyFont="1" applyAlignment="1">
      <alignment horizontal="left"/>
    </xf>
    <xf numFmtId="4" fontId="37" fillId="0" borderId="0" xfId="44" applyNumberFormat="1" applyFont="1" applyFill="1" applyAlignment="1">
      <alignment horizontal="left"/>
    </xf>
    <xf numFmtId="166" fontId="37" fillId="0" borderId="0" xfId="0" applyNumberFormat="1" applyFont="1" applyAlignment="1">
      <alignment horizontal="left"/>
    </xf>
    <xf numFmtId="1" fontId="37" fillId="0" borderId="0" xfId="44" applyNumberFormat="1" applyFont="1" applyAlignment="1">
      <alignment horizontal="left"/>
    </xf>
    <xf numFmtId="166" fontId="37" fillId="0" borderId="0" xfId="44" applyNumberFormat="1" applyFont="1" applyFill="1" applyAlignment="1">
      <alignment horizontal="left" wrapText="1"/>
    </xf>
    <xf numFmtId="43" fontId="37" fillId="0" borderId="0" xfId="45" applyFont="1" applyAlignment="1">
      <alignment horizontal="left"/>
    </xf>
    <xf numFmtId="170" fontId="37" fillId="0" borderId="0" xfId="47" applyNumberFormat="1" applyFont="1" applyFill="1" applyAlignment="1" applyProtection="1">
      <alignment horizontal="left"/>
    </xf>
    <xf numFmtId="168" fontId="37" fillId="0" borderId="0" xfId="0" applyNumberFormat="1" applyFont="1" applyAlignment="1">
      <alignment horizontal="left"/>
    </xf>
    <xf numFmtId="0" fontId="36" fillId="0" borderId="0" xfId="44" applyFont="1" applyAlignment="1">
      <alignment horizontal="left"/>
    </xf>
    <xf numFmtId="0" fontId="36" fillId="0" borderId="0" xfId="0" applyFont="1" applyAlignment="1">
      <alignment horizontal="left"/>
    </xf>
    <xf numFmtId="166" fontId="36" fillId="0" borderId="0" xfId="44" applyNumberFormat="1" applyFont="1" applyAlignment="1">
      <alignment horizontal="left"/>
    </xf>
    <xf numFmtId="0" fontId="37" fillId="46" borderId="0" xfId="44" applyFont="1" applyFill="1" applyAlignment="1">
      <alignment horizontal="left"/>
    </xf>
    <xf numFmtId="10" fontId="37" fillId="0" borderId="0" xfId="1" applyNumberFormat="1" applyFont="1" applyAlignment="1">
      <alignment horizontal="left"/>
    </xf>
    <xf numFmtId="166" fontId="37" fillId="0" borderId="0" xfId="0" applyNumberFormat="1" applyFont="1" applyAlignment="1">
      <alignment horizontal="center" wrapText="1"/>
    </xf>
    <xf numFmtId="3" fontId="37" fillId="0" borderId="0" xfId="44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166" fontId="37" fillId="0" borderId="0" xfId="44" applyNumberFormat="1" applyFont="1" applyFill="1" applyAlignment="1">
      <alignment horizontal="center"/>
    </xf>
    <xf numFmtId="9" fontId="37" fillId="0" borderId="0" xfId="44" applyNumberFormat="1" applyFont="1" applyAlignment="1">
      <alignment horizontal="center"/>
    </xf>
    <xf numFmtId="10" fontId="37" fillId="0" borderId="0" xfId="46" applyNumberFormat="1" applyFont="1" applyAlignment="1">
      <alignment horizontal="center"/>
    </xf>
    <xf numFmtId="10" fontId="37" fillId="0" borderId="0" xfId="44" applyNumberFormat="1" applyFont="1" applyAlignment="1">
      <alignment horizontal="center"/>
    </xf>
    <xf numFmtId="166" fontId="37" fillId="0" borderId="0" xfId="44" applyNumberFormat="1" applyFont="1" applyAlignment="1">
      <alignment horizontal="center"/>
    </xf>
    <xf numFmtId="43" fontId="37" fillId="0" borderId="0" xfId="48" applyFont="1" applyFill="1" applyAlignment="1">
      <alignment horizontal="center"/>
    </xf>
    <xf numFmtId="171" fontId="37" fillId="0" borderId="0" xfId="46" applyNumberFormat="1" applyFont="1" applyAlignment="1">
      <alignment horizontal="center"/>
    </xf>
    <xf numFmtId="9" fontId="37" fillId="0" borderId="0" xfId="46" applyFont="1" applyFill="1" applyAlignment="1">
      <alignment horizontal="center"/>
    </xf>
    <xf numFmtId="0" fontId="37" fillId="0" borderId="0" xfId="44" quotePrefix="1" applyFont="1" applyAlignment="1">
      <alignment horizontal="center"/>
    </xf>
    <xf numFmtId="3" fontId="37" fillId="0" borderId="0" xfId="44" applyNumberFormat="1" applyFont="1" applyFill="1" applyAlignment="1">
      <alignment horizontal="center"/>
    </xf>
    <xf numFmtId="10" fontId="37" fillId="0" borderId="0" xfId="46" applyNumberFormat="1" applyFont="1" applyFill="1" applyAlignment="1">
      <alignment horizontal="center"/>
    </xf>
    <xf numFmtId="10" fontId="37" fillId="0" borderId="0" xfId="44" applyNumberFormat="1" applyFont="1" applyFill="1" applyAlignment="1">
      <alignment horizontal="center"/>
    </xf>
    <xf numFmtId="169" fontId="37" fillId="0" borderId="0" xfId="44" applyNumberFormat="1" applyFont="1" applyFill="1" applyAlignment="1">
      <alignment horizontal="center"/>
    </xf>
    <xf numFmtId="10" fontId="37" fillId="0" borderId="0" xfId="0" applyNumberFormat="1" applyFont="1" applyFill="1" applyAlignment="1">
      <alignment horizontal="center"/>
    </xf>
    <xf numFmtId="2" fontId="37" fillId="0" borderId="0" xfId="44" applyNumberFormat="1" applyFont="1" applyAlignment="1">
      <alignment horizontal="center"/>
    </xf>
    <xf numFmtId="177" fontId="37" fillId="0" borderId="0" xfId="48" applyNumberFormat="1" applyFont="1" applyFill="1" applyAlignment="1">
      <alignment horizontal="center"/>
    </xf>
    <xf numFmtId="0" fontId="37" fillId="0" borderId="0" xfId="0" quotePrefix="1" applyFont="1" applyAlignment="1">
      <alignment horizontal="center" wrapText="1"/>
    </xf>
    <xf numFmtId="4" fontId="37" fillId="0" borderId="0" xfId="44" applyNumberFormat="1" applyFont="1" applyAlignment="1">
      <alignment horizontal="center"/>
    </xf>
    <xf numFmtId="4" fontId="37" fillId="0" borderId="0" xfId="0" applyNumberFormat="1" applyFont="1" applyAlignment="1">
      <alignment horizontal="center" wrapText="1"/>
    </xf>
    <xf numFmtId="4" fontId="37" fillId="0" borderId="0" xfId="44" applyNumberFormat="1" applyFont="1" applyFill="1" applyAlignment="1">
      <alignment horizontal="center"/>
    </xf>
    <xf numFmtId="172" fontId="37" fillId="0" borderId="0" xfId="2" applyNumberFormat="1" applyFont="1" applyFill="1" applyAlignment="1">
      <alignment horizontal="center"/>
    </xf>
    <xf numFmtId="167" fontId="37" fillId="0" borderId="0" xfId="0" applyNumberFormat="1" applyFont="1" applyAlignment="1">
      <alignment horizontal="center" wrapText="1"/>
    </xf>
    <xf numFmtId="167" fontId="36" fillId="0" borderId="0" xfId="0" quotePrefix="1" applyNumberFormat="1" applyFont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167" fontId="36" fillId="0" borderId="0" xfId="0" quotePrefix="1" applyNumberFormat="1" applyFont="1" applyFill="1" applyAlignment="1">
      <alignment horizontal="center" wrapText="1"/>
    </xf>
    <xf numFmtId="4" fontId="37" fillId="0" borderId="0" xfId="44" quotePrefix="1" applyNumberFormat="1" applyFont="1" applyAlignment="1">
      <alignment horizontal="center"/>
    </xf>
    <xf numFmtId="4" fontId="37" fillId="0" borderId="0" xfId="0" quotePrefix="1" applyNumberFormat="1" applyFont="1" applyAlignment="1">
      <alignment horizontal="center"/>
    </xf>
    <xf numFmtId="4" fontId="37" fillId="0" borderId="0" xfId="44" applyNumberFormat="1" applyFont="1" applyAlignment="1">
      <alignment horizontal="center" wrapText="1"/>
    </xf>
    <xf numFmtId="4" fontId="37" fillId="0" borderId="0" xfId="45" applyNumberFormat="1" applyFont="1" applyAlignment="1">
      <alignment horizontal="center"/>
    </xf>
    <xf numFmtId="177" fontId="37" fillId="0" borderId="0" xfId="48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170" fontId="37" fillId="0" borderId="0" xfId="47" applyNumberFormat="1" applyFont="1" applyFill="1" applyAlignment="1" applyProtection="1">
      <alignment horizontal="center"/>
    </xf>
    <xf numFmtId="168" fontId="37" fillId="0" borderId="0" xfId="0" applyNumberFormat="1" applyFont="1" applyAlignment="1">
      <alignment horizontal="center"/>
    </xf>
    <xf numFmtId="3" fontId="45" fillId="0" borderId="8" xfId="0" applyNumberFormat="1" applyFont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center" wrapText="1"/>
    </xf>
    <xf numFmtId="3" fontId="36" fillId="0" borderId="0" xfId="45" applyNumberFormat="1" applyFont="1" applyAlignment="1">
      <alignment horizontal="left"/>
    </xf>
    <xf numFmtId="0" fontId="37" fillId="11" borderId="0" xfId="44" applyFont="1" applyFill="1" applyAlignment="1">
      <alignment horizontal="left"/>
    </xf>
    <xf numFmtId="10" fontId="37" fillId="11" borderId="0" xfId="46" applyNumberFormat="1" applyFont="1" applyFill="1" applyAlignment="1">
      <alignment horizontal="center"/>
    </xf>
    <xf numFmtId="4" fontId="37" fillId="11" borderId="0" xfId="44" applyNumberFormat="1" applyFont="1" applyFill="1" applyAlignment="1">
      <alignment horizontal="center"/>
    </xf>
    <xf numFmtId="1" fontId="36" fillId="0" borderId="0" xfId="44" applyNumberFormat="1" applyFont="1" applyAlignment="1">
      <alignment horizontal="left"/>
    </xf>
    <xf numFmtId="0" fontId="36" fillId="4" borderId="7" xfId="0" applyFont="1" applyFill="1" applyBorder="1" applyAlignment="1">
      <alignment horizontal="left"/>
    </xf>
    <xf numFmtId="0" fontId="36" fillId="4" borderId="7" xfId="44" applyFont="1" applyFill="1" applyBorder="1" applyAlignment="1">
      <alignment horizontal="left" wrapText="1"/>
    </xf>
    <xf numFmtId="0" fontId="36" fillId="11" borderId="0" xfId="0" quotePrefix="1" applyFont="1" applyFill="1" applyBorder="1" applyAlignment="1">
      <alignment horizontal="left" wrapText="1"/>
    </xf>
    <xf numFmtId="4" fontId="37" fillId="11" borderId="0" xfId="44" applyNumberFormat="1" applyFont="1" applyFill="1" applyAlignment="1">
      <alignment horizontal="left"/>
    </xf>
    <xf numFmtId="0" fontId="37" fillId="11" borderId="0" xfId="0" applyFont="1" applyFill="1" applyAlignment="1">
      <alignment horizontal="left"/>
    </xf>
    <xf numFmtId="0" fontId="36" fillId="5" borderId="7" xfId="44" quotePrefix="1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center" vertical="center" wrapText="1"/>
    </xf>
    <xf numFmtId="178" fontId="0" fillId="0" borderId="0" xfId="1" applyNumberFormat="1" applyFon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/>
    </xf>
    <xf numFmtId="178" fontId="0" fillId="0" borderId="10" xfId="1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/>
    </xf>
    <xf numFmtId="2" fontId="0" fillId="0" borderId="0" xfId="1" applyNumberFormat="1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 wrapText="1"/>
    </xf>
    <xf numFmtId="3" fontId="3" fillId="0" borderId="63" xfId="0" applyNumberFormat="1" applyFont="1" applyFill="1" applyBorder="1" applyAlignment="1">
      <alignment horizontal="center" vertical="center" wrapText="1"/>
    </xf>
    <xf numFmtId="3" fontId="3" fillId="0" borderId="6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3" fontId="34" fillId="0" borderId="65" xfId="0" applyNumberFormat="1" applyFont="1" applyBorder="1" applyAlignment="1">
      <alignment horizontal="center" vertical="center" wrapText="1"/>
    </xf>
    <xf numFmtId="3" fontId="34" fillId="0" borderId="66" xfId="0" applyNumberFormat="1" applyFont="1" applyBorder="1" applyAlignment="1">
      <alignment horizontal="center" vertical="center" wrapText="1"/>
    </xf>
    <xf numFmtId="3" fontId="34" fillId="0" borderId="67" xfId="0" applyNumberFormat="1" applyFont="1" applyBorder="1" applyAlignment="1">
      <alignment horizontal="center" vertical="center" wrapText="1"/>
    </xf>
    <xf numFmtId="3" fontId="34" fillId="0" borderId="18" xfId="0" applyNumberFormat="1" applyFont="1" applyFill="1" applyBorder="1" applyAlignment="1">
      <alignment horizontal="center" vertical="center" wrapText="1"/>
    </xf>
    <xf numFmtId="3" fontId="34" fillId="0" borderId="19" xfId="0" applyNumberFormat="1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 wrapText="1"/>
    </xf>
    <xf numFmtId="2" fontId="37" fillId="0" borderId="0" xfId="48" applyNumberFormat="1" applyFont="1" applyAlignment="1">
      <alignment horizontal="center"/>
    </xf>
    <xf numFmtId="2" fontId="37" fillId="0" borderId="0" xfId="46" applyNumberFormat="1" applyFont="1" applyAlignment="1">
      <alignment horizontal="center"/>
    </xf>
    <xf numFmtId="2" fontId="46" fillId="0" borderId="0" xfId="44" applyNumberFormat="1" applyFont="1" applyAlignment="1">
      <alignment horizontal="left" wrapText="1"/>
    </xf>
    <xf numFmtId="2" fontId="37" fillId="0" borderId="0" xfId="44" applyNumberFormat="1" applyFont="1" applyAlignment="1">
      <alignment horizontal="left"/>
    </xf>
    <xf numFmtId="2" fontId="37" fillId="0" borderId="0" xfId="46" applyNumberFormat="1" applyFont="1" applyFill="1" applyAlignment="1">
      <alignment horizontal="center"/>
    </xf>
    <xf numFmtId="2" fontId="37" fillId="0" borderId="0" xfId="44" quotePrefix="1" applyNumberFormat="1" applyFont="1" applyAlignment="1">
      <alignment horizontal="left" wrapText="1"/>
    </xf>
    <xf numFmtId="0" fontId="46" fillId="0" borderId="0" xfId="44" quotePrefix="1" applyFont="1" applyAlignment="1">
      <alignment horizontal="left" wrapText="1"/>
    </xf>
    <xf numFmtId="4" fontId="37" fillId="0" borderId="0" xfId="46" applyNumberFormat="1" applyFont="1" applyAlignment="1">
      <alignment horizontal="center"/>
    </xf>
    <xf numFmtId="0" fontId="46" fillId="13" borderId="0" xfId="44" applyFont="1" applyFill="1" applyAlignment="1">
      <alignment horizontal="left" wrapText="1"/>
    </xf>
    <xf numFmtId="0" fontId="46" fillId="13" borderId="0" xfId="44" quotePrefix="1" applyFont="1" applyFill="1" applyAlignment="1">
      <alignment horizontal="left" wrapText="1"/>
    </xf>
    <xf numFmtId="0" fontId="46" fillId="0" borderId="0" xfId="44" quotePrefix="1" applyFont="1" applyFill="1" applyAlignment="1">
      <alignment horizontal="left" wrapText="1"/>
    </xf>
    <xf numFmtId="0" fontId="37" fillId="0" borderId="54" xfId="0" applyFont="1" applyBorder="1" applyAlignment="1">
      <alignment horizontal="center"/>
    </xf>
    <xf numFmtId="2" fontId="37" fillId="0" borderId="60" xfId="0" applyNumberFormat="1" applyFont="1" applyBorder="1" applyAlignment="1">
      <alignment horizontal="center"/>
    </xf>
    <xf numFmtId="2" fontId="37" fillId="0" borderId="55" xfId="0" applyNumberFormat="1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178" fontId="37" fillId="0" borderId="0" xfId="0" applyNumberFormat="1" applyFont="1" applyBorder="1" applyAlignment="1">
      <alignment horizontal="center"/>
    </xf>
    <xf numFmtId="178" fontId="37" fillId="0" borderId="47" xfId="0" applyNumberFormat="1" applyFont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47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47" xfId="0" applyNumberFormat="1" applyFont="1" applyBorder="1" applyAlignment="1">
      <alignment horizontal="center"/>
    </xf>
    <xf numFmtId="10" fontId="37" fillId="0" borderId="0" xfId="1" applyNumberFormat="1" applyFont="1" applyBorder="1" applyAlignment="1">
      <alignment horizontal="center"/>
    </xf>
    <xf numFmtId="10" fontId="37" fillId="0" borderId="47" xfId="1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43" fontId="37" fillId="0" borderId="61" xfId="48" applyFont="1" applyBorder="1" applyAlignment="1">
      <alignment horizontal="center"/>
    </xf>
    <xf numFmtId="43" fontId="37" fillId="0" borderId="56" xfId="48" applyFont="1" applyBorder="1" applyAlignment="1">
      <alignment horizontal="center"/>
    </xf>
    <xf numFmtId="10" fontId="37" fillId="0" borderId="61" xfId="1" applyNumberFormat="1" applyFont="1" applyBorder="1" applyAlignment="1">
      <alignment horizontal="center"/>
    </xf>
    <xf numFmtId="10" fontId="37" fillId="0" borderId="56" xfId="1" applyNumberFormat="1" applyFont="1" applyBorder="1" applyAlignment="1">
      <alignment horizontal="center"/>
    </xf>
    <xf numFmtId="0" fontId="36" fillId="55" borderId="68" xfId="0" applyFont="1" applyFill="1" applyBorder="1" applyAlignment="1">
      <alignment horizontal="center" wrapText="1"/>
    </xf>
    <xf numFmtId="2" fontId="37" fillId="0" borderId="69" xfId="0" applyNumberFormat="1" applyFont="1" applyBorder="1" applyAlignment="1">
      <alignment horizontal="center"/>
    </xf>
    <xf numFmtId="2" fontId="37" fillId="0" borderId="50" xfId="0" applyNumberFormat="1" applyFont="1" applyBorder="1" applyAlignment="1">
      <alignment horizontal="center"/>
    </xf>
    <xf numFmtId="2" fontId="37" fillId="0" borderId="70" xfId="0" applyNumberFormat="1" applyFont="1" applyBorder="1" applyAlignment="1">
      <alignment horizontal="center"/>
    </xf>
    <xf numFmtId="178" fontId="37" fillId="0" borderId="69" xfId="0" applyNumberFormat="1" applyFont="1" applyBorder="1" applyAlignment="1">
      <alignment horizontal="center"/>
    </xf>
    <xf numFmtId="178" fontId="37" fillId="0" borderId="50" xfId="0" applyNumberFormat="1" applyFont="1" applyBorder="1" applyAlignment="1">
      <alignment horizontal="center"/>
    </xf>
    <xf numFmtId="4" fontId="37" fillId="0" borderId="70" xfId="0" applyNumberFormat="1" applyFont="1" applyBorder="1" applyAlignment="1">
      <alignment horizontal="center"/>
    </xf>
    <xf numFmtId="4" fontId="37" fillId="0" borderId="69" xfId="0" applyNumberFormat="1" applyFont="1" applyBorder="1" applyAlignment="1">
      <alignment horizontal="center"/>
    </xf>
    <xf numFmtId="4" fontId="37" fillId="0" borderId="50" xfId="0" applyNumberFormat="1" applyFont="1" applyBorder="1" applyAlignment="1">
      <alignment horizontal="center"/>
    </xf>
    <xf numFmtId="10" fontId="37" fillId="0" borderId="50" xfId="1" applyNumberFormat="1" applyFont="1" applyBorder="1" applyAlignment="1">
      <alignment horizontal="center"/>
    </xf>
    <xf numFmtId="10" fontId="37" fillId="0" borderId="70" xfId="1" applyNumberFormat="1" applyFont="1" applyBorder="1" applyAlignment="1">
      <alignment horizontal="center"/>
    </xf>
    <xf numFmtId="2" fontId="37" fillId="0" borderId="48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47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0" fontId="37" fillId="0" borderId="0" xfId="1" applyNumberFormat="1" applyFont="1" applyBorder="1" applyAlignment="1">
      <alignment horizontal="left"/>
    </xf>
    <xf numFmtId="10" fontId="37" fillId="0" borderId="54" xfId="1" applyNumberFormat="1" applyFont="1" applyBorder="1" applyAlignment="1">
      <alignment horizontal="center"/>
    </xf>
    <xf numFmtId="10" fontId="37" fillId="0" borderId="60" xfId="1" applyNumberFormat="1" applyFont="1" applyBorder="1" applyAlignment="1">
      <alignment horizontal="center"/>
    </xf>
    <xf numFmtId="10" fontId="37" fillId="0" borderId="55" xfId="1" applyNumberFormat="1" applyFont="1" applyBorder="1" applyAlignment="1">
      <alignment horizontal="center"/>
    </xf>
    <xf numFmtId="10" fontId="37" fillId="0" borderId="48" xfId="1" applyNumberFormat="1" applyFont="1" applyBorder="1" applyAlignment="1">
      <alignment horizontal="center"/>
    </xf>
    <xf numFmtId="10" fontId="37" fillId="0" borderId="5" xfId="1" applyNumberFormat="1" applyFont="1" applyBorder="1" applyAlignment="1">
      <alignment horizontal="center"/>
    </xf>
    <xf numFmtId="10" fontId="37" fillId="0" borderId="55" xfId="0" applyNumberFormat="1" applyFont="1" applyBorder="1" applyAlignment="1">
      <alignment horizontal="center"/>
    </xf>
    <xf numFmtId="10" fontId="37" fillId="0" borderId="47" xfId="0" applyNumberFormat="1" applyFont="1" applyBorder="1" applyAlignment="1">
      <alignment horizontal="center"/>
    </xf>
    <xf numFmtId="10" fontId="37" fillId="0" borderId="56" xfId="0" applyNumberFormat="1" applyFont="1" applyBorder="1" applyAlignment="1">
      <alignment horizontal="center"/>
    </xf>
    <xf numFmtId="10" fontId="37" fillId="0" borderId="48" xfId="1" applyNumberFormat="1" applyFont="1" applyBorder="1" applyAlignment="1">
      <alignment horizontal="left"/>
    </xf>
    <xf numFmtId="10" fontId="37" fillId="0" borderId="47" xfId="1" applyNumberFormat="1" applyFont="1" applyBorder="1" applyAlignment="1">
      <alignment horizontal="left"/>
    </xf>
    <xf numFmtId="10" fontId="37" fillId="0" borderId="5" xfId="1" applyNumberFormat="1" applyFont="1" applyBorder="1" applyAlignment="1">
      <alignment horizontal="left"/>
    </xf>
    <xf numFmtId="10" fontId="37" fillId="0" borderId="61" xfId="1" applyNumberFormat="1" applyFont="1" applyBorder="1" applyAlignment="1">
      <alignment horizontal="left"/>
    </xf>
    <xf numFmtId="10" fontId="37" fillId="0" borderId="56" xfId="1" applyNumberFormat="1" applyFont="1" applyBorder="1" applyAlignment="1">
      <alignment horizontal="left"/>
    </xf>
    <xf numFmtId="0" fontId="36" fillId="13" borderId="68" xfId="0" applyFont="1" applyFill="1" applyBorder="1" applyAlignment="1">
      <alignment horizontal="center"/>
    </xf>
    <xf numFmtId="3" fontId="37" fillId="0" borderId="0" xfId="48" applyNumberFormat="1" applyFont="1" applyAlignment="1">
      <alignment horizontal="left"/>
    </xf>
    <xf numFmtId="3" fontId="37" fillId="13" borderId="59" xfId="48" applyNumberFormat="1" applyFont="1" applyFill="1" applyBorder="1" applyAlignment="1">
      <alignment horizontal="center"/>
    </xf>
    <xf numFmtId="3" fontId="37" fillId="13" borderId="57" xfId="48" applyNumberFormat="1" applyFont="1" applyFill="1" applyBorder="1" applyAlignment="1">
      <alignment horizontal="center"/>
    </xf>
    <xf numFmtId="3" fontId="37" fillId="13" borderId="58" xfId="48" applyNumberFormat="1" applyFont="1" applyFill="1" applyBorder="1" applyAlignment="1">
      <alignment horizontal="center"/>
    </xf>
    <xf numFmtId="9" fontId="37" fillId="0" borderId="69" xfId="0" applyNumberFormat="1" applyFont="1" applyBorder="1" applyAlignment="1">
      <alignment horizontal="center"/>
    </xf>
    <xf numFmtId="9" fontId="37" fillId="0" borderId="50" xfId="0" applyNumberFormat="1" applyFont="1" applyBorder="1" applyAlignment="1">
      <alignment horizontal="center"/>
    </xf>
    <xf numFmtId="10" fontId="37" fillId="0" borderId="50" xfId="0" applyNumberFormat="1" applyFont="1" applyBorder="1" applyAlignment="1">
      <alignment horizontal="center"/>
    </xf>
    <xf numFmtId="9" fontId="37" fillId="0" borderId="70" xfId="0" applyNumberFormat="1" applyFont="1" applyBorder="1" applyAlignment="1">
      <alignment horizontal="center"/>
    </xf>
    <xf numFmtId="9" fontId="37" fillId="0" borderId="59" xfId="1" applyFont="1" applyBorder="1" applyAlignment="1">
      <alignment horizontal="center"/>
    </xf>
    <xf numFmtId="9" fontId="37" fillId="0" borderId="57" xfId="1" applyFont="1" applyBorder="1" applyAlignment="1">
      <alignment horizontal="center"/>
    </xf>
    <xf numFmtId="9" fontId="37" fillId="0" borderId="57" xfId="0" applyNumberFormat="1" applyFont="1" applyBorder="1" applyAlignment="1">
      <alignment horizontal="center"/>
    </xf>
    <xf numFmtId="10" fontId="37" fillId="0" borderId="57" xfId="1" applyNumberFormat="1" applyFont="1" applyBorder="1" applyAlignment="1">
      <alignment horizontal="center"/>
    </xf>
    <xf numFmtId="9" fontId="37" fillId="0" borderId="58" xfId="1" applyFont="1" applyBorder="1" applyAlignment="1">
      <alignment horizontal="center"/>
    </xf>
    <xf numFmtId="4" fontId="37" fillId="0" borderId="54" xfId="0" applyNumberFormat="1" applyFont="1" applyBorder="1" applyAlignment="1">
      <alignment horizontal="center"/>
    </xf>
    <xf numFmtId="4" fontId="37" fillId="0" borderId="60" xfId="0" applyNumberFormat="1" applyFont="1" applyBorder="1" applyAlignment="1">
      <alignment horizontal="center"/>
    </xf>
    <xf numFmtId="4" fontId="37" fillId="0" borderId="48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37" fillId="0" borderId="61" xfId="0" applyNumberFormat="1" applyFont="1" applyBorder="1" applyAlignment="1">
      <alignment horizontal="center"/>
    </xf>
    <xf numFmtId="0" fontId="36" fillId="10" borderId="69" xfId="0" applyFont="1" applyFill="1" applyBorder="1" applyAlignment="1">
      <alignment horizontal="center"/>
    </xf>
    <xf numFmtId="166" fontId="37" fillId="12" borderId="70" xfId="0" applyNumberFormat="1" applyFont="1" applyFill="1" applyBorder="1" applyAlignment="1">
      <alignment horizontal="center"/>
    </xf>
    <xf numFmtId="4" fontId="37" fillId="12" borderId="5" xfId="0" applyNumberFormat="1" applyFont="1" applyFill="1" applyBorder="1" applyAlignment="1">
      <alignment horizontal="center"/>
    </xf>
    <xf numFmtId="178" fontId="37" fillId="0" borderId="54" xfId="0" applyNumberFormat="1" applyFont="1" applyBorder="1" applyAlignment="1">
      <alignment horizontal="center"/>
    </xf>
    <xf numFmtId="178" fontId="37" fillId="0" borderId="48" xfId="0" applyNumberFormat="1" applyFont="1" applyBorder="1" applyAlignment="1">
      <alignment horizontal="center"/>
    </xf>
    <xf numFmtId="0" fontId="0" fillId="0" borderId="0" xfId="0" applyFill="1" applyBorder="1" applyAlignment="1"/>
    <xf numFmtId="166" fontId="0" fillId="0" borderId="0" xfId="0" applyNumberFormat="1" applyFill="1" applyBorder="1" applyAlignment="1"/>
    <xf numFmtId="4" fontId="0" fillId="0" borderId="0" xfId="0" applyNumberFormat="1" applyFill="1" applyBorder="1" applyAlignment="1"/>
    <xf numFmtId="4" fontId="0" fillId="0" borderId="17" xfId="0" applyNumberFormat="1" applyFill="1" applyBorder="1" applyAlignment="1"/>
    <xf numFmtId="0" fontId="47" fillId="57" borderId="61" xfId="0" applyFont="1" applyFill="1" applyBorder="1" applyAlignment="1">
      <alignment horizontal="left"/>
    </xf>
    <xf numFmtId="0" fontId="47" fillId="57" borderId="13" xfId="0" applyFont="1" applyFill="1" applyBorder="1" applyAlignment="1">
      <alignment horizontal="left"/>
    </xf>
    <xf numFmtId="0" fontId="0" fillId="0" borderId="57" xfId="0" applyFill="1" applyBorder="1" applyAlignment="1"/>
    <xf numFmtId="0" fontId="48" fillId="58" borderId="0" xfId="0" applyFont="1" applyFill="1" applyBorder="1" applyAlignment="1">
      <alignment horizontal="left"/>
    </xf>
    <xf numFmtId="0" fontId="49" fillId="58" borderId="57" xfId="0" applyFont="1" applyFill="1" applyBorder="1" applyAlignment="1">
      <alignment horizontal="left"/>
    </xf>
    <xf numFmtId="0" fontId="48" fillId="58" borderId="17" xfId="0" applyFont="1" applyFill="1" applyBorder="1" applyAlignment="1">
      <alignment horizontal="left"/>
    </xf>
    <xf numFmtId="0" fontId="50" fillId="57" borderId="13" xfId="0" applyFont="1" applyFill="1" applyBorder="1" applyAlignment="1">
      <alignment horizontal="right"/>
    </xf>
    <xf numFmtId="0" fontId="50" fillId="57" borderId="61" xfId="0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center" vertical="center"/>
    </xf>
    <xf numFmtId="0" fontId="47" fillId="57" borderId="26" xfId="0" applyFont="1" applyFill="1" applyBorder="1" applyAlignment="1">
      <alignment horizontal="left"/>
    </xf>
    <xf numFmtId="0" fontId="50" fillId="57" borderId="21" xfId="0" applyFont="1" applyFill="1" applyBorder="1" applyAlignment="1">
      <alignment horizontal="right"/>
    </xf>
    <xf numFmtId="0" fontId="47" fillId="57" borderId="71" xfId="0" applyFont="1" applyFill="1" applyBorder="1" applyAlignment="1">
      <alignment horizontal="left"/>
    </xf>
    <xf numFmtId="0" fontId="50" fillId="57" borderId="72" xfId="0" applyFont="1" applyFill="1" applyBorder="1" applyAlignment="1">
      <alignment horizontal="right"/>
    </xf>
    <xf numFmtId="0" fontId="48" fillId="58" borderId="27" xfId="0" applyFont="1" applyFill="1" applyBorder="1" applyAlignment="1">
      <alignment horizontal="left"/>
    </xf>
    <xf numFmtId="0" fontId="30" fillId="0" borderId="28" xfId="0" applyFont="1" applyFill="1" applyBorder="1" applyAlignment="1">
      <alignment vertical="top" wrapText="1"/>
    </xf>
    <xf numFmtId="0" fontId="49" fillId="58" borderId="73" xfId="0" applyFont="1" applyFill="1" applyBorder="1" applyAlignment="1">
      <alignment horizontal="left"/>
    </xf>
    <xf numFmtId="0" fontId="0" fillId="0" borderId="74" xfId="0" applyFill="1" applyBorder="1" applyAlignment="1"/>
    <xf numFmtId="10" fontId="0" fillId="59" borderId="28" xfId="1" applyNumberFormat="1" applyFont="1" applyFill="1" applyBorder="1" applyAlignment="1">
      <alignment horizontal="center" vertical="center"/>
    </xf>
    <xf numFmtId="166" fontId="0" fillId="0" borderId="28" xfId="0" applyNumberFormat="1" applyFill="1" applyBorder="1" applyAlignment="1"/>
    <xf numFmtId="4" fontId="0" fillId="0" borderId="28" xfId="0" applyNumberFormat="1" applyFill="1" applyBorder="1" applyAlignment="1"/>
    <xf numFmtId="0" fontId="48" fillId="58" borderId="29" xfId="0" applyFont="1" applyFill="1" applyBorder="1" applyAlignment="1">
      <alignment horizontal="left"/>
    </xf>
    <xf numFmtId="4" fontId="0" fillId="0" borderId="30" xfId="0" applyNumberFormat="1" applyFill="1" applyBorder="1" applyAlignment="1"/>
    <xf numFmtId="10" fontId="0" fillId="0" borderId="59" xfId="1" applyNumberFormat="1" applyFont="1" applyFill="1" applyBorder="1" applyAlignment="1">
      <alignment horizontal="center" vertical="center"/>
    </xf>
    <xf numFmtId="10" fontId="0" fillId="59" borderId="74" xfId="1" applyNumberFormat="1" applyFont="1" applyFill="1" applyBorder="1" applyAlignment="1">
      <alignment horizontal="center" vertical="center"/>
    </xf>
    <xf numFmtId="4" fontId="37" fillId="0" borderId="55" xfId="0" applyNumberFormat="1" applyFont="1" applyBorder="1" applyAlignment="1">
      <alignment horizontal="center"/>
    </xf>
    <xf numFmtId="4" fontId="37" fillId="0" borderId="47" xfId="0" applyNumberFormat="1" applyFont="1" applyBorder="1" applyAlignment="1">
      <alignment horizontal="center"/>
    </xf>
    <xf numFmtId="4" fontId="37" fillId="0" borderId="56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175" fontId="0" fillId="52" borderId="2" xfId="0" applyNumberFormat="1" applyFill="1" applyBorder="1" applyAlignment="1">
      <alignment horizontal="center"/>
    </xf>
    <xf numFmtId="175" fontId="40" fillId="52" borderId="3" xfId="0" applyNumberFormat="1" applyFont="1" applyFill="1" applyBorder="1" applyAlignment="1">
      <alignment horizontal="center"/>
    </xf>
    <xf numFmtId="175" fontId="40" fillId="52" borderId="4" xfId="0" applyNumberFormat="1" applyFont="1" applyFill="1" applyBorder="1" applyAlignment="1">
      <alignment horizontal="center"/>
    </xf>
    <xf numFmtId="174" fontId="37" fillId="52" borderId="2" xfId="0" applyNumberFormat="1" applyFont="1" applyFill="1" applyBorder="1" applyAlignment="1" applyProtection="1">
      <alignment horizontal="center"/>
    </xf>
    <xf numFmtId="174" fontId="37" fillId="52" borderId="3" xfId="0" applyNumberFormat="1" applyFont="1" applyFill="1" applyBorder="1" applyAlignment="1" applyProtection="1">
      <alignment horizontal="center"/>
    </xf>
    <xf numFmtId="174" fontId="37" fillId="52" borderId="4" xfId="0" applyNumberFormat="1" applyFont="1" applyFill="1" applyBorder="1" applyAlignment="1" applyProtection="1">
      <alignment horizontal="center"/>
    </xf>
    <xf numFmtId="0" fontId="36" fillId="54" borderId="26" xfId="0" applyFont="1" applyFill="1" applyBorder="1" applyAlignment="1">
      <alignment horizontal="center"/>
    </xf>
    <xf numFmtId="0" fontId="36" fillId="54" borderId="13" xfId="0" applyFont="1" applyFill="1" applyBorder="1" applyAlignment="1">
      <alignment horizontal="center"/>
    </xf>
    <xf numFmtId="0" fontId="36" fillId="54" borderId="21" xfId="0" applyFont="1" applyFill="1" applyBorder="1" applyAlignment="1">
      <alignment horizontal="center"/>
    </xf>
    <xf numFmtId="0" fontId="36" fillId="54" borderId="29" xfId="0" applyFont="1" applyFill="1" applyBorder="1" applyAlignment="1">
      <alignment horizontal="center" vertical="center" wrapText="1"/>
    </xf>
    <xf numFmtId="0" fontId="30" fillId="54" borderId="17" xfId="0" applyFont="1" applyFill="1" applyBorder="1" applyAlignment="1">
      <alignment vertical="center" wrapText="1"/>
    </xf>
    <xf numFmtId="0" fontId="30" fillId="54" borderId="30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42" fillId="53" borderId="2" xfId="0" applyNumberFormat="1" applyFont="1" applyFill="1" applyBorder="1" applyAlignment="1">
      <alignment horizontal="center"/>
    </xf>
    <xf numFmtId="0" fontId="42" fillId="53" borderId="4" xfId="0" applyNumberFormat="1" applyFont="1" applyFill="1" applyBorder="1" applyAlignment="1">
      <alignment horizontal="center"/>
    </xf>
    <xf numFmtId="174" fontId="37" fillId="9" borderId="2" xfId="0" applyNumberFormat="1" applyFont="1" applyFill="1" applyBorder="1" applyAlignment="1" applyProtection="1">
      <alignment horizontal="center"/>
    </xf>
    <xf numFmtId="174" fontId="37" fillId="9" borderId="3" xfId="0" applyNumberFormat="1" applyFont="1" applyFill="1" applyBorder="1" applyAlignment="1" applyProtection="1">
      <alignment horizontal="center"/>
    </xf>
    <xf numFmtId="174" fontId="37" fillId="9" borderId="4" xfId="0" applyNumberFormat="1" applyFont="1" applyFill="1" applyBorder="1" applyAlignment="1" applyProtection="1">
      <alignment horizontal="center"/>
    </xf>
    <xf numFmtId="173" fontId="36" fillId="52" borderId="2" xfId="0" applyNumberFormat="1" applyFont="1" applyFill="1" applyBorder="1" applyAlignment="1">
      <alignment horizontal="center" vertical="center" wrapText="1"/>
    </xf>
    <xf numFmtId="173" fontId="36" fillId="52" borderId="3" xfId="0" applyNumberFormat="1" applyFont="1" applyFill="1" applyBorder="1" applyAlignment="1">
      <alignment horizontal="center" vertical="center" wrapText="1"/>
    </xf>
    <xf numFmtId="173" fontId="36" fillId="52" borderId="4" xfId="0" applyNumberFormat="1" applyFont="1" applyFill="1" applyBorder="1" applyAlignment="1">
      <alignment horizontal="center" vertical="center" wrapText="1"/>
    </xf>
    <xf numFmtId="175" fontId="0" fillId="52" borderId="3" xfId="0" applyNumberFormat="1" applyFill="1" applyBorder="1" applyAlignment="1">
      <alignment horizontal="center"/>
    </xf>
    <xf numFmtId="175" fontId="0" fillId="52" borderId="4" xfId="0" applyNumberFormat="1" applyFill="1" applyBorder="1" applyAlignment="1">
      <alignment horizontal="center"/>
    </xf>
    <xf numFmtId="0" fontId="39" fillId="51" borderId="2" xfId="0" applyFont="1" applyFill="1" applyBorder="1" applyAlignment="1" applyProtection="1">
      <alignment horizontal="center"/>
    </xf>
    <xf numFmtId="0" fontId="39" fillId="51" borderId="3" xfId="0" applyFont="1" applyFill="1" applyBorder="1" applyAlignment="1" applyProtection="1">
      <alignment horizontal="center"/>
    </xf>
    <xf numFmtId="0" fontId="39" fillId="51" borderId="4" xfId="0" applyFont="1" applyFill="1" applyBorder="1" applyAlignment="1" applyProtection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 vertical="center" wrapText="1"/>
    </xf>
    <xf numFmtId="0" fontId="0" fillId="13" borderId="13" xfId="0" applyFill="1" applyBorder="1"/>
    <xf numFmtId="0" fontId="0" fillId="13" borderId="21" xfId="0" applyFill="1" applyBorder="1"/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0" fillId="13" borderId="3" xfId="0" applyFill="1" applyBorder="1"/>
    <xf numFmtId="0" fontId="0" fillId="13" borderId="4" xfId="0" applyFill="1" applyBorder="1"/>
    <xf numFmtId="0" fontId="2" fillId="13" borderId="31" xfId="0" applyFont="1" applyFill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1" xfId="0" applyBorder="1"/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6" fillId="13" borderId="13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3" fillId="13" borderId="4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3" borderId="26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0" fontId="23" fillId="13" borderId="21" xfId="0" applyFont="1" applyFill="1" applyBorder="1" applyAlignment="1">
      <alignment horizontal="center" vertical="center" wrapText="1"/>
    </xf>
    <xf numFmtId="2" fontId="36" fillId="8" borderId="59" xfId="0" applyNumberFormat="1" applyFont="1" applyFill="1" applyBorder="1" applyAlignment="1">
      <alignment horizontal="center"/>
    </xf>
    <xf numFmtId="2" fontId="36" fillId="8" borderId="57" xfId="0" applyNumberFormat="1" applyFont="1" applyFill="1" applyBorder="1" applyAlignment="1">
      <alignment horizontal="center"/>
    </xf>
    <xf numFmtId="2" fontId="36" fillId="8" borderId="58" xfId="0" applyNumberFormat="1" applyFont="1" applyFill="1" applyBorder="1" applyAlignment="1">
      <alignment horizontal="center"/>
    </xf>
    <xf numFmtId="0" fontId="36" fillId="8" borderId="59" xfId="0" applyFont="1" applyFill="1" applyBorder="1" applyAlignment="1">
      <alignment horizontal="center"/>
    </xf>
    <xf numFmtId="0" fontId="36" fillId="8" borderId="57" xfId="0" applyFont="1" applyFill="1" applyBorder="1" applyAlignment="1">
      <alignment horizontal="center"/>
    </xf>
    <xf numFmtId="0" fontId="36" fillId="8" borderId="58" xfId="0" applyFont="1" applyFill="1" applyBorder="1" applyAlignment="1">
      <alignment horizontal="center"/>
    </xf>
    <xf numFmtId="168" fontId="36" fillId="8" borderId="59" xfId="0" applyNumberFormat="1" applyFont="1" applyFill="1" applyBorder="1" applyAlignment="1">
      <alignment horizontal="center"/>
    </xf>
    <xf numFmtId="168" fontId="36" fillId="8" borderId="57" xfId="0" applyNumberFormat="1" applyFont="1" applyFill="1" applyBorder="1" applyAlignment="1">
      <alignment horizontal="center"/>
    </xf>
    <xf numFmtId="168" fontId="36" fillId="8" borderId="58" xfId="0" applyNumberFormat="1" applyFont="1" applyFill="1" applyBorder="1" applyAlignment="1">
      <alignment horizontal="center"/>
    </xf>
    <xf numFmtId="0" fontId="36" fillId="0" borderId="48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  <xf numFmtId="0" fontId="37" fillId="7" borderId="59" xfId="0" applyFont="1" applyFill="1" applyBorder="1" applyAlignment="1">
      <alignment horizontal="left"/>
    </xf>
    <xf numFmtId="0" fontId="37" fillId="7" borderId="58" xfId="0" applyFont="1" applyFill="1" applyBorder="1" applyAlignment="1">
      <alignment horizontal="left"/>
    </xf>
    <xf numFmtId="0" fontId="36" fillId="7" borderId="59" xfId="0" applyFont="1" applyFill="1" applyBorder="1" applyAlignment="1">
      <alignment horizontal="center"/>
    </xf>
    <xf numFmtId="0" fontId="36" fillId="7" borderId="57" xfId="0" applyFont="1" applyFill="1" applyBorder="1" applyAlignment="1">
      <alignment horizontal="center"/>
    </xf>
    <xf numFmtId="0" fontId="36" fillId="7" borderId="58" xfId="0" applyFont="1" applyFill="1" applyBorder="1" applyAlignment="1">
      <alignment horizontal="center"/>
    </xf>
    <xf numFmtId="0" fontId="36" fillId="0" borderId="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44" fillId="0" borderId="5" xfId="0" applyFont="1" applyFill="1" applyBorder="1" applyAlignment="1">
      <alignment horizontal="left" vertical="center" wrapText="1"/>
    </xf>
    <xf numFmtId="0" fontId="44" fillId="0" borderId="56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5" fillId="0" borderId="47" xfId="0" applyFont="1" applyBorder="1" applyAlignment="1">
      <alignment horizontal="left"/>
    </xf>
    <xf numFmtId="0" fontId="44" fillId="0" borderId="47" xfId="0" applyFont="1" applyFill="1" applyBorder="1" applyAlignment="1">
      <alignment horizontal="left" vertical="center" wrapText="1"/>
    </xf>
    <xf numFmtId="0" fontId="36" fillId="13" borderId="59" xfId="0" applyFont="1" applyFill="1" applyBorder="1" applyAlignment="1">
      <alignment horizontal="center"/>
    </xf>
    <xf numFmtId="0" fontId="36" fillId="13" borderId="57" xfId="0" applyFont="1" applyFill="1" applyBorder="1" applyAlignment="1">
      <alignment horizontal="center"/>
    </xf>
    <xf numFmtId="0" fontId="36" fillId="13" borderId="58" xfId="0" applyFont="1" applyFill="1" applyBorder="1" applyAlignment="1">
      <alignment horizontal="center"/>
    </xf>
    <xf numFmtId="10" fontId="36" fillId="13" borderId="69" xfId="0" applyNumberFormat="1" applyFont="1" applyFill="1" applyBorder="1" applyAlignment="1">
      <alignment horizontal="center" vertical="center" wrapText="1"/>
    </xf>
    <xf numFmtId="0" fontId="36" fillId="13" borderId="50" xfId="0" applyFont="1" applyFill="1" applyBorder="1" applyAlignment="1">
      <alignment horizontal="center" vertical="center" wrapText="1"/>
    </xf>
    <xf numFmtId="0" fontId="36" fillId="13" borderId="70" xfId="0" applyFont="1" applyFill="1" applyBorder="1" applyAlignment="1">
      <alignment horizontal="center" vertical="center" wrapText="1"/>
    </xf>
    <xf numFmtId="0" fontId="36" fillId="56" borderId="59" xfId="0" applyFont="1" applyFill="1" applyBorder="1" applyAlignment="1">
      <alignment horizontal="center"/>
    </xf>
    <xf numFmtId="0" fontId="36" fillId="56" borderId="57" xfId="0" applyFont="1" applyFill="1" applyBorder="1" applyAlignment="1">
      <alignment horizontal="center"/>
    </xf>
    <xf numFmtId="0" fontId="36" fillId="56" borderId="58" xfId="0" applyFont="1" applyFill="1" applyBorder="1" applyAlignment="1">
      <alignment horizontal="center"/>
    </xf>
    <xf numFmtId="0" fontId="44" fillId="0" borderId="48" xfId="0" applyFont="1" applyBorder="1" applyAlignment="1">
      <alignment horizontal="left" wrapText="1"/>
    </xf>
    <xf numFmtId="0" fontId="44" fillId="0" borderId="47" xfId="0" applyFont="1" applyBorder="1" applyAlignment="1">
      <alignment horizontal="left" wrapText="1"/>
    </xf>
    <xf numFmtId="0" fontId="44" fillId="0" borderId="5" xfId="0" applyFont="1" applyBorder="1" applyAlignment="1">
      <alignment horizontal="left" wrapText="1"/>
    </xf>
    <xf numFmtId="0" fontId="44" fillId="0" borderId="56" xfId="0" applyFont="1" applyBorder="1" applyAlignment="1">
      <alignment horizontal="left" wrapText="1"/>
    </xf>
    <xf numFmtId="0" fontId="2" fillId="60" borderId="60" xfId="0" applyFont="1" applyFill="1" applyBorder="1" applyAlignment="1">
      <alignment horizontal="center"/>
    </xf>
    <xf numFmtId="0" fontId="0" fillId="60" borderId="75" xfId="0" applyFill="1" applyBorder="1" applyAlignment="1">
      <alignment horizontal="center"/>
    </xf>
    <xf numFmtId="166" fontId="2" fillId="60" borderId="0" xfId="0" applyNumberFormat="1" applyFont="1" applyFill="1" applyBorder="1" applyAlignment="1">
      <alignment horizontal="center"/>
    </xf>
    <xf numFmtId="166" fontId="0" fillId="60" borderId="28" xfId="0" applyNumberFormat="1" applyFill="1" applyBorder="1" applyAlignment="1">
      <alignment horizontal="center"/>
    </xf>
    <xf numFmtId="0" fontId="48" fillId="58" borderId="73" xfId="0" applyFont="1" applyFill="1" applyBorder="1" applyAlignment="1">
      <alignment horizontal="center" wrapText="1"/>
    </xf>
    <xf numFmtId="0" fontId="48" fillId="58" borderId="58" xfId="0" applyFont="1" applyFill="1" applyBorder="1" applyAlignment="1">
      <alignment horizontal="center" wrapText="1"/>
    </xf>
    <xf numFmtId="169" fontId="37" fillId="61" borderId="0" xfId="46" applyNumberFormat="1" applyFont="1" applyFill="1" applyAlignment="1" applyProtection="1">
      <alignment horizontal="center"/>
      <protection locked="0"/>
    </xf>
    <xf numFmtId="0" fontId="37" fillId="61" borderId="0" xfId="0" applyFont="1" applyFill="1" applyAlignment="1" applyProtection="1">
      <alignment horizontal="center"/>
      <protection locked="0"/>
    </xf>
    <xf numFmtId="0" fontId="37" fillId="61" borderId="0" xfId="0" applyFont="1" applyFill="1" applyAlignment="1" applyProtection="1">
      <alignment horizontal="center" wrapText="1"/>
      <protection locked="0"/>
    </xf>
    <xf numFmtId="169" fontId="37" fillId="61" borderId="0" xfId="1" applyNumberFormat="1" applyFont="1" applyFill="1" applyAlignment="1" applyProtection="1">
      <alignment horizontal="center"/>
      <protection locked="0"/>
    </xf>
    <xf numFmtId="10" fontId="37" fillId="61" borderId="0" xfId="46" applyNumberFormat="1" applyFont="1" applyFill="1" applyAlignment="1" applyProtection="1">
      <alignment horizontal="center"/>
      <protection locked="0"/>
    </xf>
    <xf numFmtId="9" fontId="37" fillId="61" borderId="0" xfId="46" applyFont="1" applyFill="1" applyAlignment="1" applyProtection="1">
      <alignment horizontal="center"/>
      <protection locked="0"/>
    </xf>
    <xf numFmtId="166" fontId="37" fillId="61" borderId="0" xfId="44" applyNumberFormat="1" applyFont="1" applyFill="1" applyAlignment="1" applyProtection="1">
      <alignment horizontal="center"/>
      <protection locked="0"/>
    </xf>
    <xf numFmtId="9" fontId="37" fillId="61" borderId="0" xfId="44" applyNumberFormat="1" applyFont="1" applyFill="1" applyAlignment="1" applyProtection="1">
      <alignment horizontal="center"/>
      <protection locked="0"/>
    </xf>
    <xf numFmtId="9" fontId="37" fillId="61" borderId="0" xfId="0" applyNumberFormat="1" applyFont="1" applyFill="1" applyAlignment="1" applyProtection="1">
      <alignment horizontal="center"/>
      <protection locked="0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8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Millares 2" xfId="45"/>
    <cellStyle name="Neutral" xfId="10" builtinId="28" customBuiltin="1"/>
    <cellStyle name="Normal" xfId="0" builtinId="0"/>
    <cellStyle name="Normal_complex example terminal value for inflation ch" xfId="44"/>
    <cellStyle name="Normal_flujoversion99sincircymacro" xfId="47"/>
    <cellStyle name="Note" xfId="17" builtinId="10" customBuiltin="1"/>
    <cellStyle name="Output" xfId="12" builtinId="21" customBuiltin="1"/>
    <cellStyle name="Percent" xfId="1" builtinId="5"/>
    <cellStyle name="Porcentual 2" xfId="46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00CC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sumen de escenario'!A1"/><Relationship Id="rId3" Type="http://schemas.openxmlformats.org/officeDocument/2006/relationships/hyperlink" Target="#'TCC-TES'!A1"/><Relationship Id="rId7" Type="http://schemas.openxmlformats.org/officeDocument/2006/relationships/hyperlink" Target="#CIGE!A1"/><Relationship Id="rId2" Type="http://schemas.openxmlformats.org/officeDocument/2006/relationships/hyperlink" Target="#ANEXOS!A1"/><Relationship Id="rId1" Type="http://schemas.openxmlformats.org/officeDocument/2006/relationships/image" Target="../media/image1.jpeg"/><Relationship Id="rId6" Type="http://schemas.openxmlformats.org/officeDocument/2006/relationships/hyperlink" Target="#'ANTONIO ARAUJO &amp; CIA'!A1"/><Relationship Id="rId5" Type="http://schemas.openxmlformats.org/officeDocument/2006/relationships/hyperlink" Target="#'SUBSECTOR 29'!A1"/><Relationship Id="rId4" Type="http://schemas.openxmlformats.org/officeDocument/2006/relationships/hyperlink" Target="#'SECTOR COMERC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34</xdr:col>
      <xdr:colOff>0</xdr:colOff>
      <xdr:row>11</xdr:row>
      <xdr:rowOff>13665</xdr:rowOff>
    </xdr:to>
    <xdr:pic>
      <xdr:nvPicPr>
        <xdr:cNvPr id="8193" name="Picture 1" descr="Ir al inicio de la página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" y="0"/>
          <a:ext cx="26048800" cy="2063611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16</xdr:col>
      <xdr:colOff>103532</xdr:colOff>
      <xdr:row>11</xdr:row>
      <xdr:rowOff>126021</xdr:rowOff>
    </xdr:from>
    <xdr:ext cx="5052392" cy="826479"/>
    <xdr:sp macro="" textlink="">
      <xdr:nvSpPr>
        <xdr:cNvPr id="4" name="3 Rectángulo"/>
        <xdr:cNvSpPr/>
      </xdr:nvSpPr>
      <xdr:spPr>
        <a:xfrm>
          <a:off x="12361793" y="2175967"/>
          <a:ext cx="5052392" cy="82647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threePt" dir="t"/>
          </a:scene3d>
          <a:sp3d extrusionH="57150">
            <a:bevelT w="38100" h="38100" prst="slope"/>
          </a:sp3d>
        </a:bodyPr>
        <a:lstStyle/>
        <a:p>
          <a:pPr algn="ctr"/>
          <a:r>
            <a:rPr lang="es-ES" sz="8800" b="1" cap="none" spc="0">
              <a:ln w="18000">
                <a:solidFill>
                  <a:schemeClr val="accent4">
                    <a:lumMod val="20000"/>
                    <a:lumOff val="80000"/>
                  </a:schemeClr>
                </a:solidFill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INDICE</a:t>
          </a:r>
        </a:p>
        <a:p>
          <a:pPr algn="ctr"/>
          <a:endParaRPr lang="es-E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156197</xdr:colOff>
      <xdr:row>18</xdr:row>
      <xdr:rowOff>19589</xdr:rowOff>
    </xdr:from>
    <xdr:ext cx="2011706" cy="593304"/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56197" y="3374046"/>
          <a:ext cx="201170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1. ANEXOS</a:t>
          </a:r>
        </a:p>
      </xdr:txBody>
    </xdr:sp>
    <xdr:clientData/>
  </xdr:oneCellAnchor>
  <xdr:oneCellAnchor>
    <xdr:from>
      <xdr:col>0</xdr:col>
      <xdr:colOff>155645</xdr:colOff>
      <xdr:row>22</xdr:row>
      <xdr:rowOff>86264</xdr:rowOff>
    </xdr:from>
    <xdr:ext cx="1955664" cy="593304"/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55645" y="4186155"/>
          <a:ext cx="195566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2. TCC-TES</a:t>
          </a:r>
        </a:p>
      </xdr:txBody>
    </xdr:sp>
    <xdr:clientData/>
  </xdr:oneCellAnchor>
  <xdr:oneCellAnchor>
    <xdr:from>
      <xdr:col>0</xdr:col>
      <xdr:colOff>174217</xdr:colOff>
      <xdr:row>26</xdr:row>
      <xdr:rowOff>86264</xdr:rowOff>
    </xdr:from>
    <xdr:ext cx="3899722" cy="593304"/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74217" y="4931590"/>
          <a:ext cx="389972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3.</a:t>
          </a:r>
          <a:r>
            <a:rPr lang="es-ES" sz="32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</a:t>
          </a:r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SECTOR COMERCIO</a:t>
          </a:r>
        </a:p>
      </xdr:txBody>
    </xdr:sp>
    <xdr:clientData/>
  </xdr:oneCellAnchor>
  <xdr:oneCellAnchor>
    <xdr:from>
      <xdr:col>0</xdr:col>
      <xdr:colOff>193170</xdr:colOff>
      <xdr:row>30</xdr:row>
      <xdr:rowOff>95789</xdr:rowOff>
    </xdr:from>
    <xdr:ext cx="3118867" cy="593304"/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93170" y="5829839"/>
          <a:ext cx="311886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4.</a:t>
          </a:r>
          <a:r>
            <a:rPr lang="es-ES" sz="32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</a:t>
          </a:r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SUBSECTOR 29</a:t>
          </a:r>
        </a:p>
      </xdr:txBody>
    </xdr:sp>
    <xdr:clientData/>
  </xdr:oneCellAnchor>
  <xdr:oneCellAnchor>
    <xdr:from>
      <xdr:col>0</xdr:col>
      <xdr:colOff>170947</xdr:colOff>
      <xdr:row>34</xdr:row>
      <xdr:rowOff>133889</xdr:rowOff>
    </xdr:from>
    <xdr:ext cx="5449313" cy="593304"/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170947" y="6629939"/>
          <a:ext cx="544931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5.</a:t>
          </a:r>
          <a:r>
            <a:rPr lang="es-ES" sz="32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</a:t>
          </a:r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ANTONIO ARAUJO &amp;</a:t>
          </a:r>
          <a:r>
            <a:rPr lang="es-ES" sz="32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CIA S.A</a:t>
          </a:r>
          <a:endParaRPr lang="es-ES" sz="32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bg1">
                <a:lumMod val="95000"/>
              </a:schemeClr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232261</xdr:colOff>
      <xdr:row>38</xdr:row>
      <xdr:rowOff>152939</xdr:rowOff>
    </xdr:from>
    <xdr:ext cx="1383328" cy="593304"/>
    <xdr:sp macro="" textlink="">
      <xdr:nvSpPr>
        <xdr:cNvPr id="10" name="9 Rectángulo">
          <a:hlinkClick xmlns:r="http://schemas.openxmlformats.org/officeDocument/2006/relationships" r:id="rId7"/>
        </xdr:cNvPr>
        <xdr:cNvSpPr/>
      </xdr:nvSpPr>
      <xdr:spPr>
        <a:xfrm>
          <a:off x="232261" y="7410989"/>
          <a:ext cx="138332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6. CIGE</a:t>
          </a:r>
        </a:p>
      </xdr:txBody>
    </xdr:sp>
    <xdr:clientData/>
  </xdr:oneCellAnchor>
  <xdr:oneCellAnchor>
    <xdr:from>
      <xdr:col>0</xdr:col>
      <xdr:colOff>338958</xdr:colOff>
      <xdr:row>46</xdr:row>
      <xdr:rowOff>133889</xdr:rowOff>
    </xdr:from>
    <xdr:ext cx="4569135" cy="2158668"/>
    <xdr:sp macro="" textlink="">
      <xdr:nvSpPr>
        <xdr:cNvPr id="11" name="10 Rectángulo"/>
        <xdr:cNvSpPr/>
      </xdr:nvSpPr>
      <xdr:spPr>
        <a:xfrm>
          <a:off x="338958" y="8706389"/>
          <a:ext cx="4569135" cy="215866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>
                  <a:lumMod val="9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PRESENTADO POR:</a:t>
          </a:r>
        </a:p>
        <a:p>
          <a:pPr algn="ctr"/>
          <a:r>
            <a:rPr lang="es-ES" sz="2400" b="1" cap="none" spc="0">
              <a:ln w="11430"/>
              <a:solidFill>
                <a:schemeClr val="bg1">
                  <a:lumMod val="9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 JUAN CARLOS DUQUE QUINTERO</a:t>
          </a:r>
        </a:p>
        <a:p>
          <a:pPr algn="ctr"/>
          <a:endParaRPr lang="es-ES" sz="2800" b="1" cap="none" spc="0">
            <a:ln w="11430"/>
            <a:solidFill>
              <a:schemeClr val="bg1">
                <a:lumMod val="95000"/>
              </a:schemeClr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/>
          <a:r>
            <a:rPr lang="es-ES" sz="2800" b="1" cap="none" spc="0">
              <a:ln w="11430"/>
              <a:solidFill>
                <a:schemeClr val="bg1">
                  <a:lumMod val="9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PRESENTADO A:</a:t>
          </a:r>
        </a:p>
        <a:p>
          <a:pPr algn="ctr"/>
          <a:r>
            <a:rPr lang="es-ES" sz="2400" b="1" cap="none" spc="0">
              <a:ln w="11430"/>
              <a:solidFill>
                <a:schemeClr val="bg1">
                  <a:lumMod val="9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IGNACIO</a:t>
          </a:r>
          <a:r>
            <a:rPr lang="es-ES" sz="2400" b="1" cap="none" spc="0" baseline="0">
              <a:ln w="11430"/>
              <a:solidFill>
                <a:schemeClr val="bg1">
                  <a:lumMod val="9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VELEZ PAREJA</a:t>
          </a:r>
          <a:endParaRPr lang="es-ES" sz="2400" b="1" cap="none" spc="0">
            <a:ln w="11430"/>
            <a:solidFill>
              <a:schemeClr val="bg1">
                <a:lumMod val="95000"/>
              </a:schemeClr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694481</xdr:colOff>
      <xdr:row>28</xdr:row>
      <xdr:rowOff>99103</xdr:rowOff>
    </xdr:from>
    <xdr:ext cx="184731" cy="937629"/>
    <xdr:sp macro="" textlink="">
      <xdr:nvSpPr>
        <xdr:cNvPr id="14" name="13 Rectángulo"/>
        <xdr:cNvSpPr/>
      </xdr:nvSpPr>
      <xdr:spPr>
        <a:xfrm>
          <a:off x="12952742" y="53171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694484</xdr:colOff>
      <xdr:row>28</xdr:row>
      <xdr:rowOff>99103</xdr:rowOff>
    </xdr:from>
    <xdr:ext cx="184730" cy="937629"/>
    <xdr:sp macro="" textlink="">
      <xdr:nvSpPr>
        <xdr:cNvPr id="17" name="16 Rectángulo"/>
        <xdr:cNvSpPr/>
      </xdr:nvSpPr>
      <xdr:spPr>
        <a:xfrm>
          <a:off x="12952745" y="531714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181268</xdr:colOff>
      <xdr:row>42</xdr:row>
      <xdr:rowOff>119809</xdr:rowOff>
    </xdr:from>
    <xdr:ext cx="4358565" cy="593304"/>
    <xdr:sp macro="" textlink="">
      <xdr:nvSpPr>
        <xdr:cNvPr id="18" name="17 Rectángulo">
          <a:hlinkClick xmlns:r="http://schemas.openxmlformats.org/officeDocument/2006/relationships" r:id="rId8"/>
        </xdr:cNvPr>
        <xdr:cNvSpPr/>
      </xdr:nvSpPr>
      <xdr:spPr>
        <a:xfrm>
          <a:off x="181268" y="7946874"/>
          <a:ext cx="4358565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3200" b="1" cap="all" spc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7. resumen</a:t>
          </a:r>
          <a:r>
            <a:rPr lang="es-ES" sz="3200" b="1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escenario</a:t>
          </a:r>
          <a:endParaRPr lang="es-ES" sz="3200" b="1" cap="all" spc="0">
            <a:ln/>
            <a:solidFill>
              <a:schemeClr val="bg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496333</xdr:colOff>
      <xdr:row>3</xdr:row>
      <xdr:rowOff>113354</xdr:rowOff>
    </xdr:from>
    <xdr:ext cx="1334447" cy="443302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3398378" y="1857542"/>
          <a:ext cx="1334447" cy="443302"/>
        </a:xfrm>
        <a:prstGeom prst="rect">
          <a:avLst/>
        </a:prstGeom>
        <a:solidFill>
          <a:srgbClr val="7030A0"/>
        </a:solidFill>
        <a:effectLst>
          <a:innerShdw blurRad="63500" dist="50800" dir="8100000">
            <a:schemeClr val="accent5">
              <a:lumMod val="40000"/>
              <a:lumOff val="60000"/>
              <a:alpha val="50000"/>
            </a:schemeClr>
          </a:innerShdw>
        </a:effectLst>
        <a:scene3d>
          <a:camera prst="orthographicFront"/>
          <a:lightRig rig="threePt" dir="t"/>
        </a:scene3d>
        <a:sp3d>
          <a:bevelT prst="slope"/>
        </a:sp3d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/>
            </a:rPr>
            <a:t>REGRESAR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224709</xdr:colOff>
      <xdr:row>2</xdr:row>
      <xdr:rowOff>0</xdr:rowOff>
    </xdr:from>
    <xdr:ext cx="1308179" cy="405432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8764441" y="532946"/>
          <a:ext cx="1308179" cy="405432"/>
        </a:xfrm>
        <a:prstGeom prst="rect">
          <a:avLst/>
        </a:prstGeom>
        <a:solidFill>
          <a:srgbClr val="7030A0"/>
        </a:solidFill>
        <a:effectLst>
          <a:innerShdw blurRad="63500" dist="50800" dir="108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slope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/>
            </a:rPr>
            <a:t>REGRESAR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138984</xdr:colOff>
      <xdr:row>5</xdr:row>
      <xdr:rowOff>57150</xdr:rowOff>
    </xdr:from>
    <xdr:ext cx="1308179" cy="405432"/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10711734" y="1038225"/>
          <a:ext cx="1308179" cy="405432"/>
        </a:xfrm>
        <a:prstGeom prst="rect">
          <a:avLst/>
        </a:prstGeom>
        <a:solidFill>
          <a:srgbClr val="7030A0"/>
        </a:solidFill>
        <a:effectLst>
          <a:innerShdw blurRad="63500" dist="50800" dir="108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slope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/>
            </a:rPr>
            <a:t>REGRESAR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91359</xdr:colOff>
      <xdr:row>4</xdr:row>
      <xdr:rowOff>0</xdr:rowOff>
    </xdr:from>
    <xdr:ext cx="1308179" cy="405432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9768759" y="790575"/>
          <a:ext cx="1308179" cy="405432"/>
        </a:xfrm>
        <a:prstGeom prst="rect">
          <a:avLst/>
        </a:prstGeom>
        <a:solidFill>
          <a:srgbClr val="7030A0"/>
        </a:solidFill>
        <a:effectLst>
          <a:innerShdw blurRad="63500" dist="50800" dir="10800000">
            <a:schemeClr val="accent5">
              <a:lumMod val="40000"/>
              <a:lumOff val="60000"/>
              <a:alpha val="50000"/>
            </a:schemeClr>
          </a:innerShdw>
        </a:effectLst>
        <a:scene3d>
          <a:camera prst="orthographicFront"/>
          <a:lightRig rig="threePt" dir="t"/>
        </a:scene3d>
        <a:sp3d>
          <a:bevelT prst="slope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/>
            </a:rPr>
            <a:t>REGRESAR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81834</xdr:colOff>
      <xdr:row>4</xdr:row>
      <xdr:rowOff>133350</xdr:rowOff>
    </xdr:from>
    <xdr:ext cx="1308179" cy="405432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9902109" y="923925"/>
          <a:ext cx="1308179" cy="405432"/>
        </a:xfrm>
        <a:prstGeom prst="rect">
          <a:avLst/>
        </a:prstGeom>
        <a:solidFill>
          <a:srgbClr val="7030A0"/>
        </a:solidFill>
        <a:effectLst>
          <a:innerShdw blurRad="63500" dist="50800" dir="8100000">
            <a:schemeClr val="accent5">
              <a:lumMod val="40000"/>
              <a:lumOff val="60000"/>
              <a:alpha val="50000"/>
            </a:schemeClr>
          </a:innerShdw>
        </a:effectLst>
        <a:scene3d>
          <a:camera prst="orthographicFront"/>
          <a:lightRig rig="threePt" dir="t"/>
        </a:scene3d>
        <a:sp3d>
          <a:bevelT prst="slope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/>
            </a:rPr>
            <a:t>REGRESAR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177084</xdr:colOff>
      <xdr:row>2</xdr:row>
      <xdr:rowOff>66675</xdr:rowOff>
    </xdr:from>
    <xdr:ext cx="1308179" cy="405432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539534" y="352425"/>
          <a:ext cx="1308179" cy="405432"/>
        </a:xfrm>
        <a:prstGeom prst="rect">
          <a:avLst/>
        </a:prstGeom>
        <a:solidFill>
          <a:srgbClr val="7030A0"/>
        </a:solidFill>
        <a:effectLst>
          <a:innerShdw blurRad="63500" dist="50800" dir="10800000">
            <a:schemeClr val="accent5">
              <a:lumMod val="40000"/>
              <a:lumOff val="60000"/>
              <a:alpha val="50000"/>
            </a:schemeClr>
          </a:innerShdw>
        </a:effectLst>
        <a:scene3d>
          <a:camera prst="orthographicFront"/>
          <a:lightRig rig="threePt" dir="t"/>
        </a:scene3d>
        <a:sp3d>
          <a:bevelT prst="slope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/>
            </a:rPr>
            <a:t>REGRESAR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1308179" cy="405432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76800" y="200025"/>
          <a:ext cx="1308179" cy="405432"/>
        </a:xfrm>
        <a:prstGeom prst="rect">
          <a:avLst/>
        </a:prstGeom>
        <a:solidFill>
          <a:srgbClr val="7030A0"/>
        </a:solidFill>
        <a:effectLst>
          <a:innerShdw blurRad="63500" dist="50800" dir="10800000">
            <a:schemeClr val="accent5">
              <a:lumMod val="40000"/>
              <a:lumOff val="60000"/>
              <a:alpha val="50000"/>
            </a:schemeClr>
          </a:innerShdw>
        </a:effectLst>
        <a:scene3d>
          <a:camera prst="orthographicFront"/>
          <a:lightRig rig="threePt" dir="t"/>
        </a:scene3d>
        <a:sp3d>
          <a:bevelT prst="slope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</a:schemeClr>
              </a:solidFill>
              <a:effectLst/>
            </a:rPr>
            <a:t>REGRESAR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H66"/>
  <sheetViews>
    <sheetView tabSelected="1" zoomScale="46" zoomScaleNormal="46" workbookViewId="0">
      <selection sqref="A1:U11"/>
    </sheetView>
  </sheetViews>
  <sheetFormatPr defaultColWidth="11.42578125" defaultRowHeight="15"/>
  <cols>
    <col min="1" max="16384" width="11.42578125" style="347"/>
  </cols>
  <sheetData>
    <row r="1" spans="1:34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</row>
    <row r="2" spans="1:34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</row>
    <row r="3" spans="1:34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</row>
    <row r="4" spans="1:34">
      <c r="A4" s="631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</row>
    <row r="5" spans="1:34">
      <c r="A5" s="631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</row>
    <row r="6" spans="1:34">
      <c r="A6" s="631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</row>
    <row r="7" spans="1:34">
      <c r="A7" s="631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</row>
    <row r="8" spans="1:34">
      <c r="A8" s="631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</row>
    <row r="9" spans="1:34">
      <c r="A9" s="631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</row>
    <row r="10" spans="1:34">
      <c r="A10" s="631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</row>
    <row r="11" spans="1:34">
      <c r="A11" s="63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</row>
    <row r="12" spans="1:34">
      <c r="A12" s="559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</row>
    <row r="13" spans="1:34">
      <c r="A13" s="559"/>
      <c r="B13" s="559"/>
      <c r="C13" s="559"/>
      <c r="D13" s="559"/>
      <c r="E13" s="561"/>
      <c r="F13" s="561"/>
      <c r="G13" s="561"/>
      <c r="H13" s="561"/>
      <c r="I13" s="561"/>
      <c r="J13" s="561"/>
      <c r="K13" s="561"/>
      <c r="L13" s="561"/>
      <c r="M13" s="559"/>
      <c r="N13" s="559"/>
      <c r="O13" s="559"/>
      <c r="P13" s="559"/>
      <c r="Q13" s="559"/>
      <c r="R13" s="559"/>
      <c r="S13" s="559"/>
      <c r="T13" s="559"/>
      <c r="U13" s="559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</row>
    <row r="14" spans="1:34">
      <c r="A14" s="559"/>
      <c r="B14" s="559"/>
      <c r="C14" s="559"/>
      <c r="D14" s="559"/>
      <c r="E14" s="561"/>
      <c r="F14" s="561"/>
      <c r="G14" s="561"/>
      <c r="H14" s="561"/>
      <c r="I14" s="561"/>
      <c r="J14" s="561"/>
      <c r="K14" s="561"/>
      <c r="L14" s="561"/>
      <c r="M14" s="559"/>
      <c r="N14" s="559"/>
      <c r="O14" s="559"/>
      <c r="P14" s="559"/>
      <c r="Q14" s="559"/>
      <c r="R14" s="559"/>
      <c r="S14" s="559"/>
      <c r="T14" s="559"/>
      <c r="U14" s="559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</row>
    <row r="15" spans="1:34">
      <c r="A15" s="559"/>
      <c r="B15" s="559"/>
      <c r="C15" s="559"/>
      <c r="D15" s="559"/>
      <c r="E15" s="561"/>
      <c r="F15" s="561"/>
      <c r="G15" s="561"/>
      <c r="H15" s="561"/>
      <c r="I15" s="561"/>
      <c r="J15" s="561"/>
      <c r="K15" s="561"/>
      <c r="L15" s="561"/>
      <c r="M15" s="559"/>
      <c r="N15" s="559"/>
      <c r="O15" s="559"/>
      <c r="P15" s="559"/>
      <c r="Q15" s="559"/>
      <c r="R15" s="559"/>
      <c r="S15" s="559"/>
      <c r="T15" s="559"/>
      <c r="U15" s="559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</row>
    <row r="16" spans="1:34">
      <c r="A16" s="559"/>
      <c r="B16" s="559"/>
      <c r="C16" s="559"/>
      <c r="D16" s="559"/>
      <c r="E16" s="561"/>
      <c r="F16" s="561"/>
      <c r="G16" s="561"/>
      <c r="H16" s="561"/>
      <c r="I16" s="561"/>
      <c r="J16" s="561"/>
      <c r="K16" s="561"/>
      <c r="L16" s="561"/>
      <c r="M16" s="559"/>
      <c r="N16" s="559"/>
      <c r="O16" s="559"/>
      <c r="P16" s="559"/>
      <c r="Q16" s="559"/>
      <c r="R16" s="559"/>
      <c r="S16" s="559"/>
      <c r="T16" s="559"/>
      <c r="U16" s="559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</row>
    <row r="17" spans="1:34">
      <c r="A17" s="633"/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</row>
    <row r="18" spans="1:34">
      <c r="A18" s="633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</row>
    <row r="19" spans="1:34">
      <c r="A19" s="633"/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</row>
    <row r="20" spans="1:34">
      <c r="A20" s="633"/>
      <c r="B20" s="633"/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</row>
    <row r="21" spans="1:34">
      <c r="A21" s="633"/>
      <c r="B21" s="633"/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</row>
    <row r="22" spans="1:34">
      <c r="A22" s="633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</row>
    <row r="23" spans="1:34">
      <c r="A23" s="633"/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560"/>
      <c r="W23" s="560"/>
      <c r="X23" s="560"/>
      <c r="Y23" s="560"/>
      <c r="Z23" s="560"/>
      <c r="AA23" s="560"/>
      <c r="AB23" s="560"/>
      <c r="AC23" s="560"/>
      <c r="AD23" s="560"/>
      <c r="AE23" s="560"/>
      <c r="AF23" s="560"/>
      <c r="AG23" s="560"/>
      <c r="AH23" s="560"/>
    </row>
    <row r="24" spans="1:34">
      <c r="A24" s="633"/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</row>
    <row r="25" spans="1:34">
      <c r="A25" s="633"/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</row>
    <row r="26" spans="1:34">
      <c r="A26" s="633"/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560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  <c r="AH26" s="560"/>
    </row>
    <row r="27" spans="1:34">
      <c r="A27" s="633"/>
      <c r="B27" s="633"/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</row>
    <row r="28" spans="1:34">
      <c r="A28" s="633"/>
      <c r="B28" s="633"/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</row>
    <row r="29" spans="1:34">
      <c r="A29" s="633"/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</row>
    <row r="30" spans="1:34">
      <c r="A30" s="633"/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</row>
    <row r="31" spans="1:34">
      <c r="A31" s="633"/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  <c r="O31" s="633"/>
      <c r="P31" s="633"/>
      <c r="Q31" s="633"/>
      <c r="R31" s="633"/>
      <c r="S31" s="633"/>
      <c r="T31" s="633"/>
      <c r="U31" s="633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</row>
    <row r="32" spans="1:34">
      <c r="A32" s="633"/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3"/>
      <c r="U32" s="633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</row>
    <row r="33" spans="1:34">
      <c r="A33" s="633"/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T33" s="633"/>
      <c r="U33" s="633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</row>
    <row r="34" spans="1:34">
      <c r="A34" s="633"/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</row>
    <row r="35" spans="1:34">
      <c r="A35" s="633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</row>
    <row r="36" spans="1:34">
      <c r="A36" s="633"/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</row>
    <row r="37" spans="1:34">
      <c r="A37" s="633"/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</row>
    <row r="38" spans="1:34">
      <c r="A38" s="633"/>
      <c r="B38" s="63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3"/>
      <c r="U38" s="633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</row>
    <row r="39" spans="1:34">
      <c r="A39" s="633"/>
      <c r="B39" s="633"/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</row>
    <row r="40" spans="1:34">
      <c r="A40" s="633"/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</row>
    <row r="41" spans="1:34">
      <c r="A41" s="633"/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</row>
    <row r="42" spans="1:34">
      <c r="A42" s="633"/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</row>
    <row r="43" spans="1:34">
      <c r="A43" s="633"/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</row>
    <row r="44" spans="1:34">
      <c r="A44" s="633"/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</row>
    <row r="45" spans="1:34">
      <c r="A45" s="633"/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560"/>
      <c r="W45" s="560"/>
      <c r="X45" s="560"/>
      <c r="Y45" s="560"/>
      <c r="Z45" s="560"/>
      <c r="AA45" s="560"/>
      <c r="AB45" s="560"/>
      <c r="AC45" s="560"/>
      <c r="AD45" s="560"/>
      <c r="AE45" s="560"/>
      <c r="AF45" s="560"/>
      <c r="AG45" s="560"/>
      <c r="AH45" s="560"/>
    </row>
    <row r="46" spans="1:34">
      <c r="A46" s="633"/>
      <c r="B46" s="633"/>
      <c r="C46" s="633"/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</row>
    <row r="47" spans="1:34">
      <c r="A47" s="633"/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3"/>
      <c r="V47" s="560"/>
      <c r="W47" s="560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560"/>
    </row>
    <row r="48" spans="1:34">
      <c r="A48" s="633"/>
      <c r="B48" s="633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</row>
    <row r="49" spans="1:34">
      <c r="A49" s="633"/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560"/>
      <c r="AH49" s="560"/>
    </row>
    <row r="50" spans="1:34">
      <c r="A50" s="633"/>
      <c r="B50" s="633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</row>
    <row r="51" spans="1:34">
      <c r="A51" s="633"/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560"/>
      <c r="W51" s="560"/>
      <c r="X51" s="56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</row>
    <row r="52" spans="1:34">
      <c r="A52" s="633"/>
      <c r="B52" s="633"/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3"/>
      <c r="U52" s="633"/>
      <c r="V52" s="560"/>
      <c r="W52" s="560"/>
      <c r="X52" s="560"/>
      <c r="Y52" s="560"/>
      <c r="Z52" s="560"/>
      <c r="AA52" s="560"/>
      <c r="AB52" s="560"/>
      <c r="AC52" s="560"/>
      <c r="AD52" s="560"/>
      <c r="AE52" s="560"/>
      <c r="AF52" s="560"/>
      <c r="AG52" s="560"/>
      <c r="AH52" s="560"/>
    </row>
    <row r="53" spans="1:34">
      <c r="A53" s="633"/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633"/>
      <c r="O53" s="633"/>
      <c r="P53" s="633"/>
      <c r="Q53" s="633"/>
      <c r="R53" s="633"/>
      <c r="S53" s="633"/>
      <c r="T53" s="633"/>
      <c r="U53" s="633"/>
      <c r="V53" s="560"/>
      <c r="W53" s="560"/>
      <c r="X53" s="560"/>
      <c r="Y53" s="560"/>
      <c r="Z53" s="560"/>
      <c r="AA53" s="560"/>
      <c r="AB53" s="560"/>
      <c r="AC53" s="560"/>
      <c r="AD53" s="560"/>
      <c r="AE53" s="560"/>
      <c r="AF53" s="560"/>
      <c r="AG53" s="560"/>
      <c r="AH53" s="560"/>
    </row>
    <row r="54" spans="1:34">
      <c r="A54" s="633"/>
      <c r="B54" s="633"/>
      <c r="C54" s="633"/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3"/>
      <c r="Q54" s="633"/>
      <c r="R54" s="633"/>
      <c r="S54" s="633"/>
      <c r="T54" s="633"/>
      <c r="U54" s="633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</row>
    <row r="55" spans="1:34">
      <c r="A55" s="633"/>
      <c r="B55" s="633"/>
      <c r="C55" s="633"/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</row>
    <row r="56" spans="1:34">
      <c r="A56" s="633"/>
      <c r="B56" s="633"/>
      <c r="C56" s="633"/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</row>
    <row r="57" spans="1:34">
      <c r="A57" s="633"/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</row>
    <row r="58" spans="1:34">
      <c r="A58" s="633"/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</row>
    <row r="59" spans="1:34">
      <c r="A59" s="633"/>
      <c r="B59" s="633"/>
      <c r="C59" s="633"/>
      <c r="D59" s="633"/>
      <c r="E59" s="633"/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</row>
    <row r="60" spans="1:34">
      <c r="A60" s="633"/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</row>
    <row r="61" spans="1:34">
      <c r="A61" s="633"/>
      <c r="B61" s="633"/>
      <c r="C61" s="633"/>
      <c r="D61" s="633"/>
      <c r="E61" s="633"/>
      <c r="F61" s="633"/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3"/>
      <c r="U61" s="633"/>
      <c r="V61" s="560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</row>
    <row r="62" spans="1:34">
      <c r="A62" s="633"/>
      <c r="B62" s="633"/>
      <c r="C62" s="633"/>
      <c r="D62" s="633"/>
      <c r="E62" s="633"/>
      <c r="F62" s="633"/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</row>
    <row r="63" spans="1:34">
      <c r="A63" s="633"/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</row>
    <row r="64" spans="1:34">
      <c r="A64" s="633"/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</row>
    <row r="65" spans="1:34">
      <c r="A65" s="633"/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560"/>
      <c r="W65" s="560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</row>
    <row r="66" spans="1:34">
      <c r="A66" s="633"/>
      <c r="B66" s="633"/>
      <c r="C66" s="633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560"/>
      <c r="W66" s="560"/>
      <c r="X66" s="560"/>
      <c r="Y66" s="560"/>
      <c r="Z66" s="560"/>
      <c r="AA66" s="560"/>
      <c r="AB66" s="560"/>
      <c r="AC66" s="560"/>
      <c r="AD66" s="560"/>
      <c r="AE66" s="560"/>
      <c r="AF66" s="560"/>
      <c r="AG66" s="560"/>
      <c r="AH66" s="560"/>
    </row>
  </sheetData>
  <mergeCells count="2">
    <mergeCell ref="A1:U11"/>
    <mergeCell ref="A17:U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93"/>
  <sheetViews>
    <sheetView zoomScale="77" zoomScaleNormal="77" workbookViewId="0"/>
  </sheetViews>
  <sheetFormatPr defaultColWidth="11.42578125" defaultRowHeight="15"/>
  <cols>
    <col min="1" max="1" width="14.28515625" bestFit="1" customWidth="1"/>
    <col min="2" max="2" width="13.85546875" customWidth="1"/>
    <col min="3" max="4" width="12.42578125" bestFit="1" customWidth="1"/>
    <col min="5" max="5" width="14" bestFit="1" customWidth="1"/>
    <col min="9" max="9" width="13.140625" bestFit="1" customWidth="1"/>
    <col min="10" max="10" width="14" bestFit="1" customWidth="1"/>
    <col min="11" max="11" width="16.7109375" bestFit="1" customWidth="1"/>
    <col min="12" max="13" width="12.42578125" bestFit="1" customWidth="1"/>
    <col min="14" max="14" width="11.85546875" bestFit="1" customWidth="1"/>
  </cols>
  <sheetData>
    <row r="1" spans="1:19" ht="90.75" thickBot="1">
      <c r="A1" s="139" t="s">
        <v>463</v>
      </c>
      <c r="B1" s="139" t="s">
        <v>465</v>
      </c>
      <c r="C1" s="140" t="s">
        <v>466</v>
      </c>
      <c r="D1" s="141" t="s">
        <v>467</v>
      </c>
      <c r="E1" s="146" t="s">
        <v>468</v>
      </c>
      <c r="F1" s="140" t="s">
        <v>469</v>
      </c>
      <c r="G1" s="141" t="s">
        <v>482</v>
      </c>
      <c r="I1" s="174" t="s">
        <v>475</v>
      </c>
      <c r="J1" s="176">
        <v>2010</v>
      </c>
      <c r="K1" s="176">
        <v>2011</v>
      </c>
      <c r="L1" s="174">
        <v>2012</v>
      </c>
      <c r="M1" s="177">
        <v>2013</v>
      </c>
      <c r="N1" s="174">
        <v>2014</v>
      </c>
      <c r="O1" s="177">
        <v>2015</v>
      </c>
      <c r="P1" s="174">
        <v>2016</v>
      </c>
      <c r="Q1" s="174">
        <v>2017</v>
      </c>
      <c r="R1" s="174">
        <v>2018</v>
      </c>
      <c r="S1" s="178">
        <v>2019</v>
      </c>
    </row>
    <row r="2" spans="1:19" ht="30.75" thickBot="1">
      <c r="A2" s="148">
        <v>1999</v>
      </c>
      <c r="B2" s="142">
        <v>2138992</v>
      </c>
      <c r="C2" s="152"/>
      <c r="D2" s="144">
        <v>-0.19002272135551465</v>
      </c>
      <c r="E2" s="155">
        <v>9.2299999999999993E-2</v>
      </c>
      <c r="F2" s="132"/>
      <c r="G2" s="136"/>
      <c r="I2" s="42" t="s">
        <v>474</v>
      </c>
      <c r="J2" s="181">
        <v>3.5999999999999997E-2</v>
      </c>
      <c r="K2" s="62">
        <v>3.6450000000000003E-2</v>
      </c>
      <c r="L2" s="66">
        <v>3.6150000000000002E-2</v>
      </c>
      <c r="M2" s="62">
        <v>3.5000000000000003E-2</v>
      </c>
      <c r="N2" s="66">
        <v>3.5000000000000003E-2</v>
      </c>
      <c r="O2" s="179">
        <v>0.03</v>
      </c>
      <c r="P2" s="158">
        <v>0.03</v>
      </c>
      <c r="Q2" s="158">
        <v>0.03</v>
      </c>
      <c r="R2" s="158">
        <v>0.03</v>
      </c>
      <c r="S2" s="180">
        <v>0.03</v>
      </c>
    </row>
    <row r="3" spans="1:19" ht="15.75" thickBot="1">
      <c r="A3" s="149">
        <v>2000</v>
      </c>
      <c r="B3" s="4">
        <v>2618052</v>
      </c>
      <c r="C3" s="153">
        <f>B3/B2-1</f>
        <v>0.22396530702312112</v>
      </c>
      <c r="D3" s="145">
        <v>9.7172655199433397E-2</v>
      </c>
      <c r="E3" s="156">
        <v>8.7499999999999994E-2</v>
      </c>
      <c r="F3" s="147">
        <f>(C3+1)/(E3+1)-1</f>
        <v>0.12548533979137577</v>
      </c>
      <c r="G3" s="159">
        <f>(D3+1)/(F3+1)-1</f>
        <v>-2.5155978128680423E-2</v>
      </c>
    </row>
    <row r="4" spans="1:19" ht="45.75" thickBot="1">
      <c r="A4" s="149">
        <v>2001</v>
      </c>
      <c r="B4" s="13">
        <v>2189164</v>
      </c>
      <c r="C4" s="153">
        <f t="shared" ref="C4:C12" si="0">B4/B3-1</f>
        <v>-0.16381951160633934</v>
      </c>
      <c r="D4" s="145">
        <v>3.6294799346331813E-2</v>
      </c>
      <c r="E4" s="156">
        <v>7.6499999999999999E-2</v>
      </c>
      <c r="F4" s="147">
        <f t="shared" ref="F4:F12" si="1">(C4+1)/(E4+1)-1</f>
        <v>-0.22324153423719406</v>
      </c>
      <c r="G4" s="159">
        <f t="shared" ref="G4:G11" si="2">(D4+1)/(F4+1)-1</f>
        <v>0.33412746049526665</v>
      </c>
      <c r="J4" s="176" t="s">
        <v>475</v>
      </c>
      <c r="K4" s="174" t="s">
        <v>476</v>
      </c>
      <c r="L4" s="174" t="s">
        <v>474</v>
      </c>
      <c r="M4" s="346" t="s">
        <v>1189</v>
      </c>
      <c r="N4" s="174" t="s">
        <v>477</v>
      </c>
      <c r="O4" s="178" t="s">
        <v>478</v>
      </c>
    </row>
    <row r="5" spans="1:19">
      <c r="A5" s="149">
        <v>2002</v>
      </c>
      <c r="B5" s="4">
        <v>2298013</v>
      </c>
      <c r="C5" s="153">
        <f t="shared" si="0"/>
        <v>4.9721720254855217E-2</v>
      </c>
      <c r="D5" s="145">
        <v>1.8721421578953967E-2</v>
      </c>
      <c r="E5" s="156">
        <v>6.9900000000000004E-2</v>
      </c>
      <c r="F5" s="147">
        <f t="shared" si="1"/>
        <v>-1.8859967983124504E-2</v>
      </c>
      <c r="G5" s="159">
        <f t="shared" si="2"/>
        <v>3.8303797965336672E-2</v>
      </c>
      <c r="J5" s="186">
        <v>2010</v>
      </c>
      <c r="K5" s="187">
        <f>$D$13</f>
        <v>6.4157554023961505E-2</v>
      </c>
      <c r="L5" s="55">
        <f>J2</f>
        <v>3.5999999999999997E-2</v>
      </c>
      <c r="M5" s="187">
        <f>G13</f>
        <v>5.1566875068404718E-2</v>
      </c>
      <c r="N5" s="343">
        <f>(K5+1)*(1+L5)*(M5+1)-1</f>
        <v>0.15931801567736925</v>
      </c>
      <c r="O5" s="126">
        <f>B12*(N5+1)</f>
        <v>5418193.3153418154</v>
      </c>
    </row>
    <row r="6" spans="1:19">
      <c r="A6" s="149">
        <v>2003</v>
      </c>
      <c r="B6" s="4">
        <v>2304951</v>
      </c>
      <c r="C6" s="153">
        <f>B6/B5-1</f>
        <v>3.0191300049215997E-3</v>
      </c>
      <c r="D6" s="145">
        <v>5.2420410079715936E-2</v>
      </c>
      <c r="E6" s="156">
        <v>6.4899999999999999E-2</v>
      </c>
      <c r="F6" s="147">
        <f t="shared" si="1"/>
        <v>-5.8109559578437775E-2</v>
      </c>
      <c r="G6" s="159">
        <f t="shared" si="2"/>
        <v>0.11734907258288318</v>
      </c>
      <c r="J6" s="33">
        <v>2011</v>
      </c>
      <c r="K6" s="188">
        <f t="shared" ref="K6:K14" si="3">$D$13</f>
        <v>6.4157554023961505E-2</v>
      </c>
      <c r="L6" s="58">
        <f>K2</f>
        <v>3.6450000000000003E-2</v>
      </c>
      <c r="M6" s="188">
        <f>M5</f>
        <v>5.1566875068404718E-2</v>
      </c>
      <c r="N6" s="344">
        <f t="shared" ref="N6:N14" si="4">(K6+1)*(1+L6)*(M6+1)-1</f>
        <v>0.15982158045251871</v>
      </c>
      <c r="O6" s="127">
        <f>O5*(N6+1)</f>
        <v>6284137.5341970166</v>
      </c>
    </row>
    <row r="7" spans="1:19">
      <c r="A7" s="149">
        <v>2004</v>
      </c>
      <c r="B7" s="4">
        <v>1983473</v>
      </c>
      <c r="C7" s="153">
        <f t="shared" si="0"/>
        <v>-0.13947281308800052</v>
      </c>
      <c r="D7" s="145">
        <v>8.7963391805855343E-2</v>
      </c>
      <c r="E7" s="157">
        <v>5.4975226515432629E-2</v>
      </c>
      <c r="F7" s="147">
        <f t="shared" si="1"/>
        <v>-0.1843152660993681</v>
      </c>
      <c r="G7" s="159">
        <f t="shared" si="2"/>
        <v>0.33380379280016403</v>
      </c>
      <c r="J7" s="33">
        <v>2012</v>
      </c>
      <c r="K7" s="188">
        <f t="shared" si="3"/>
        <v>6.4157554023961505E-2</v>
      </c>
      <c r="L7" s="58">
        <f>L2</f>
        <v>3.6150000000000002E-2</v>
      </c>
      <c r="M7" s="188">
        <f>M6</f>
        <v>5.1566875068404718E-2</v>
      </c>
      <c r="N7" s="344">
        <f t="shared" si="4"/>
        <v>0.15948587060241892</v>
      </c>
      <c r="O7" s="127">
        <f t="shared" ref="O7:O14" si="5">O6*(N7+1)</f>
        <v>7286368.6798237655</v>
      </c>
    </row>
    <row r="8" spans="1:19">
      <c r="A8" s="149">
        <v>2005</v>
      </c>
      <c r="B8" s="4">
        <v>2208245</v>
      </c>
      <c r="C8" s="153">
        <f>B8/B7-1</f>
        <v>0.1133224399827979</v>
      </c>
      <c r="D8" s="145">
        <v>8.5217737331095555E-2</v>
      </c>
      <c r="E8" s="157">
        <v>4.8525780949691733E-2</v>
      </c>
      <c r="F8" s="147">
        <f t="shared" si="1"/>
        <v>6.1797869170576947E-2</v>
      </c>
      <c r="G8" s="159">
        <f t="shared" si="2"/>
        <v>2.205680463345927E-2</v>
      </c>
      <c r="J8" s="33">
        <v>2013</v>
      </c>
      <c r="K8" s="188">
        <f t="shared" si="3"/>
        <v>6.4157554023961505E-2</v>
      </c>
      <c r="L8" s="58">
        <f>M2</f>
        <v>3.5000000000000003E-2</v>
      </c>
      <c r="M8" s="188">
        <f t="shared" ref="M8:M14" si="6">M7</f>
        <v>5.1566875068404718E-2</v>
      </c>
      <c r="N8" s="344">
        <f t="shared" si="4"/>
        <v>0.15819898284370359</v>
      </c>
      <c r="O8" s="127">
        <f t="shared" si="5"/>
        <v>8439064.7935961038</v>
      </c>
    </row>
    <row r="9" spans="1:19">
      <c r="A9" s="149">
        <v>2006</v>
      </c>
      <c r="B9" s="4">
        <v>2884989</v>
      </c>
      <c r="C9" s="153">
        <f t="shared" si="0"/>
        <v>0.3064623717024153</v>
      </c>
      <c r="D9" s="145">
        <v>0.12564286626297985</v>
      </c>
      <c r="E9" s="65">
        <v>4.48E-2</v>
      </c>
      <c r="F9" s="147">
        <f t="shared" si="1"/>
        <v>0.25044254565698254</v>
      </c>
      <c r="G9" s="159">
        <f t="shared" si="2"/>
        <v>-9.9804409108963044E-2</v>
      </c>
      <c r="J9" s="33">
        <v>2014</v>
      </c>
      <c r="K9" s="188">
        <f t="shared" si="3"/>
        <v>6.4157554023961505E-2</v>
      </c>
      <c r="L9" s="58">
        <f>N2</f>
        <v>3.5000000000000003E-2</v>
      </c>
      <c r="M9" s="188">
        <f t="shared" si="6"/>
        <v>5.1566875068404718E-2</v>
      </c>
      <c r="N9" s="344">
        <f t="shared" si="4"/>
        <v>0.15819898284370359</v>
      </c>
      <c r="O9" s="127">
        <f t="shared" si="5"/>
        <v>9774116.2600951176</v>
      </c>
    </row>
    <row r="10" spans="1:19">
      <c r="A10" s="149">
        <v>2007</v>
      </c>
      <c r="B10" s="4">
        <v>3915432</v>
      </c>
      <c r="C10" s="153">
        <f t="shared" si="0"/>
        <v>0.35717397882626245</v>
      </c>
      <c r="D10" s="145">
        <v>0.12312253401472532</v>
      </c>
      <c r="E10" s="65">
        <v>5.6899999999999999E-2</v>
      </c>
      <c r="F10" s="147">
        <f t="shared" si="1"/>
        <v>0.28410822104859723</v>
      </c>
      <c r="G10" s="159">
        <f t="shared" si="2"/>
        <v>-0.12536769440071938</v>
      </c>
      <c r="J10" s="33">
        <v>2015</v>
      </c>
      <c r="K10" s="188">
        <f t="shared" si="3"/>
        <v>6.4157554023961505E-2</v>
      </c>
      <c r="L10" s="341">
        <f>O2</f>
        <v>0.03</v>
      </c>
      <c r="M10" s="188">
        <f t="shared" si="6"/>
        <v>5.1566875068404718E-2</v>
      </c>
      <c r="N10" s="344">
        <f t="shared" si="4"/>
        <v>0.15260381867537665</v>
      </c>
      <c r="O10" s="127">
        <f t="shared" si="5"/>
        <v>11265683.725562723</v>
      </c>
    </row>
    <row r="11" spans="1:19">
      <c r="A11" s="149">
        <v>2008</v>
      </c>
      <c r="B11" s="4">
        <v>4202322</v>
      </c>
      <c r="C11" s="153">
        <f t="shared" si="0"/>
        <v>7.3271608343600469E-2</v>
      </c>
      <c r="D11" s="145">
        <v>0.13339999999999999</v>
      </c>
      <c r="E11" s="65">
        <v>7.6700000000000004E-2</v>
      </c>
      <c r="F11" s="147">
        <f t="shared" si="1"/>
        <v>-3.184166115351994E-3</v>
      </c>
      <c r="G11" s="159">
        <f t="shared" si="2"/>
        <v>0.13702046202765028</v>
      </c>
      <c r="J11" s="33">
        <v>2016</v>
      </c>
      <c r="K11" s="188">
        <f t="shared" si="3"/>
        <v>6.4157554023961505E-2</v>
      </c>
      <c r="L11" s="341">
        <f>P2</f>
        <v>0.03</v>
      </c>
      <c r="M11" s="188">
        <f t="shared" si="6"/>
        <v>5.1566875068404718E-2</v>
      </c>
      <c r="N11" s="344">
        <f t="shared" si="4"/>
        <v>0.15260381867537665</v>
      </c>
      <c r="O11" s="127">
        <f t="shared" si="5"/>
        <v>12984870.082072638</v>
      </c>
    </row>
    <row r="12" spans="1:19" ht="15.75" thickBot="1">
      <c r="A12" s="150">
        <v>2009</v>
      </c>
      <c r="B12" s="143">
        <v>4673604</v>
      </c>
      <c r="C12" s="153">
        <f t="shared" si="0"/>
        <v>0.11214799817815013</v>
      </c>
      <c r="D12" s="281">
        <v>0.1358</v>
      </c>
      <c r="E12" s="158">
        <v>0.02</v>
      </c>
      <c r="F12" s="147">
        <f t="shared" si="1"/>
        <v>9.0341174684460901E-2</v>
      </c>
      <c r="G12" s="160">
        <f>(D12+1)/(F12+1)-1</f>
        <v>4.1692294458837154E-2</v>
      </c>
      <c r="J12" s="33">
        <v>2017</v>
      </c>
      <c r="K12" s="188">
        <f t="shared" si="3"/>
        <v>6.4157554023961505E-2</v>
      </c>
      <c r="L12" s="341">
        <f>Q2</f>
        <v>0.03</v>
      </c>
      <c r="M12" s="188">
        <f t="shared" si="6"/>
        <v>5.1566875068404718E-2</v>
      </c>
      <c r="N12" s="344">
        <f t="shared" si="4"/>
        <v>0.15260381867537665</v>
      </c>
      <c r="O12" s="127">
        <f t="shared" si="5"/>
        <v>14966410.841600575</v>
      </c>
    </row>
    <row r="13" spans="1:19" ht="19.5" thickBot="1">
      <c r="A13" s="138" t="s">
        <v>464</v>
      </c>
      <c r="B13" s="161"/>
      <c r="C13" s="151"/>
      <c r="D13" s="162">
        <f>AVERAGE(D2:D12)</f>
        <v>6.4157554023961505E-2</v>
      </c>
      <c r="E13" s="162">
        <f t="shared" ref="E13:F13" si="7">AVERAGE(E2:E10)</f>
        <v>6.6255667496124923E-2</v>
      </c>
      <c r="F13" s="162">
        <f t="shared" si="7"/>
        <v>2.9663455971176006E-2</v>
      </c>
      <c r="G13" s="312">
        <f>AVERAGE(G7:G12)</f>
        <v>5.1566875068404718E-2</v>
      </c>
      <c r="J13" s="33">
        <v>2018</v>
      </c>
      <c r="K13" s="188">
        <f t="shared" si="3"/>
        <v>6.4157554023961505E-2</v>
      </c>
      <c r="L13" s="341">
        <f>R2</f>
        <v>0.03</v>
      </c>
      <c r="M13" s="188">
        <f t="shared" si="6"/>
        <v>5.1566875068404718E-2</v>
      </c>
      <c r="N13" s="344">
        <f t="shared" si="4"/>
        <v>0.15260381867537665</v>
      </c>
      <c r="O13" s="127">
        <f t="shared" si="5"/>
        <v>17250342.287893381</v>
      </c>
    </row>
    <row r="14" spans="1:19" ht="15.75" thickBot="1">
      <c r="J14" s="175">
        <v>2019</v>
      </c>
      <c r="K14" s="189">
        <f t="shared" si="3"/>
        <v>6.4157554023961505E-2</v>
      </c>
      <c r="L14" s="342">
        <f>S2</f>
        <v>0.03</v>
      </c>
      <c r="M14" s="189">
        <f t="shared" si="6"/>
        <v>5.1566875068404718E-2</v>
      </c>
      <c r="N14" s="345">
        <f t="shared" si="4"/>
        <v>0.15260381867537665</v>
      </c>
      <c r="O14" s="128">
        <f t="shared" si="5"/>
        <v>19882810.394483246</v>
      </c>
    </row>
    <row r="15" spans="1:19" ht="45.75" thickBot="1">
      <c r="A15" s="139" t="s">
        <v>463</v>
      </c>
      <c r="B15" s="123" t="s">
        <v>470</v>
      </c>
      <c r="C15" s="123" t="s">
        <v>471</v>
      </c>
      <c r="D15" s="123" t="s">
        <v>472</v>
      </c>
      <c r="E15" s="123" t="s">
        <v>468</v>
      </c>
      <c r="F15" s="165" t="s">
        <v>473</v>
      </c>
    </row>
    <row r="16" spans="1:19">
      <c r="A16" s="148">
        <v>1999</v>
      </c>
      <c r="B16" s="167">
        <v>6050</v>
      </c>
      <c r="C16" s="163">
        <f>B16*12*1.12</f>
        <v>81312.000000000015</v>
      </c>
      <c r="D16" s="136"/>
      <c r="E16" s="155">
        <v>9.2299999999999993E-2</v>
      </c>
      <c r="F16" s="171"/>
      <c r="H16" s="291">
        <f>(F26+1)*(C60+1)-1</f>
        <v>7.2025159614124368E-2</v>
      </c>
      <c r="J16" s="288"/>
    </row>
    <row r="17" spans="1:16">
      <c r="A17" s="149">
        <v>2000</v>
      </c>
      <c r="B17" s="168">
        <v>6970</v>
      </c>
      <c r="C17" s="164">
        <f>B17*12*1.12</f>
        <v>93676.800000000003</v>
      </c>
      <c r="D17" s="166">
        <f>C17/C16-1</f>
        <v>0.15206611570247919</v>
      </c>
      <c r="E17" s="156">
        <v>8.7499999999999994E-2</v>
      </c>
      <c r="F17" s="97">
        <f>(D17+1)/(E17+1)-1</f>
        <v>5.9371140875843054E-2</v>
      </c>
      <c r="H17" s="292">
        <f>B25*(H16+1)</f>
        <v>17792.401574115622</v>
      </c>
      <c r="J17" s="289"/>
    </row>
    <row r="18" spans="1:16">
      <c r="A18" s="149">
        <v>2001</v>
      </c>
      <c r="B18" s="169">
        <v>7973</v>
      </c>
      <c r="C18" s="164">
        <f t="shared" ref="C18:C26" si="8">B18*12*1.12</f>
        <v>107157.12000000001</v>
      </c>
      <c r="D18" s="166">
        <f t="shared" ref="D18:D26" si="9">C18/C17-1</f>
        <v>0.14390243902439037</v>
      </c>
      <c r="E18" s="156">
        <v>7.6499999999999999E-2</v>
      </c>
      <c r="F18" s="97">
        <f t="shared" ref="F18:F25" si="10">(D18+1)/(E18+1)-1</f>
        <v>6.2612576892141503E-2</v>
      </c>
    </row>
    <row r="19" spans="1:16">
      <c r="A19" s="149">
        <v>2002</v>
      </c>
      <c r="B19" s="168">
        <v>8915</v>
      </c>
      <c r="C19" s="164">
        <f t="shared" si="8"/>
        <v>119817.60000000001</v>
      </c>
      <c r="D19" s="166">
        <f t="shared" si="9"/>
        <v>0.11814875203812858</v>
      </c>
      <c r="E19" s="156">
        <v>6.9900000000000004E-2</v>
      </c>
      <c r="F19" s="97">
        <f t="shared" si="10"/>
        <v>4.5096506251171675E-2</v>
      </c>
    </row>
    <row r="20" spans="1:16">
      <c r="A20" s="149">
        <v>2003</v>
      </c>
      <c r="B20" s="168">
        <v>9999</v>
      </c>
      <c r="C20" s="164">
        <f t="shared" si="8"/>
        <v>134386.56000000003</v>
      </c>
      <c r="D20" s="166">
        <f t="shared" si="9"/>
        <v>0.12159282108805392</v>
      </c>
      <c r="E20" s="156">
        <v>6.4899999999999999E-2</v>
      </c>
      <c r="F20" s="97">
        <f t="shared" si="10"/>
        <v>5.3237694701900651E-2</v>
      </c>
    </row>
    <row r="21" spans="1:16">
      <c r="A21" s="149">
        <v>2004</v>
      </c>
      <c r="B21" s="168">
        <v>11211</v>
      </c>
      <c r="C21" s="164">
        <f t="shared" si="8"/>
        <v>150675.84000000003</v>
      </c>
      <c r="D21" s="166">
        <f t="shared" si="9"/>
        <v>0.1212121212121211</v>
      </c>
      <c r="E21" s="157">
        <v>5.4975226515432629E-2</v>
      </c>
      <c r="F21" s="97">
        <f t="shared" si="10"/>
        <v>6.2785260764338435E-2</v>
      </c>
    </row>
    <row r="22" spans="1:16">
      <c r="A22" s="149">
        <v>2005</v>
      </c>
      <c r="B22" s="168">
        <v>12362</v>
      </c>
      <c r="C22" s="164">
        <f t="shared" si="8"/>
        <v>166145.28000000003</v>
      </c>
      <c r="D22" s="166">
        <f t="shared" si="9"/>
        <v>0.10266702345910272</v>
      </c>
      <c r="E22" s="157">
        <v>4.8525780949691733E-2</v>
      </c>
      <c r="F22" s="97">
        <f t="shared" si="10"/>
        <v>5.1635585402938888E-2</v>
      </c>
    </row>
    <row r="23" spans="1:16">
      <c r="A23" s="149">
        <v>2006</v>
      </c>
      <c r="B23" s="168">
        <v>13693</v>
      </c>
      <c r="C23" s="164">
        <f t="shared" si="8"/>
        <v>184033.92000000001</v>
      </c>
      <c r="D23" s="166">
        <f t="shared" si="9"/>
        <v>0.10766866202879788</v>
      </c>
      <c r="E23" s="65">
        <v>4.48E-2</v>
      </c>
      <c r="F23" s="97">
        <f t="shared" si="10"/>
        <v>6.0172915418068573E-2</v>
      </c>
    </row>
    <row r="24" spans="1:16">
      <c r="A24" s="149">
        <v>2007</v>
      </c>
      <c r="B24" s="168">
        <v>15019</v>
      </c>
      <c r="C24" s="164">
        <f t="shared" si="8"/>
        <v>201855.36000000002</v>
      </c>
      <c r="D24" s="166">
        <f t="shared" si="9"/>
        <v>9.6837800335938029E-2</v>
      </c>
      <c r="E24" s="65">
        <v>5.6899999999999999E-2</v>
      </c>
      <c r="F24" s="97">
        <f t="shared" si="10"/>
        <v>3.7787681271584939E-2</v>
      </c>
    </row>
    <row r="25" spans="1:16">
      <c r="A25" s="149">
        <v>2008</v>
      </c>
      <c r="B25" s="168">
        <v>16597</v>
      </c>
      <c r="C25" s="164">
        <f t="shared" si="8"/>
        <v>223063.68000000002</v>
      </c>
      <c r="D25" s="166">
        <f t="shared" si="9"/>
        <v>0.10506691524069511</v>
      </c>
      <c r="E25" s="65">
        <v>7.6700000000000004E-2</v>
      </c>
      <c r="F25" s="97">
        <f t="shared" si="10"/>
        <v>2.6346164428991514E-2</v>
      </c>
    </row>
    <row r="26" spans="1:16" ht="15.75" thickBot="1">
      <c r="A26" s="150">
        <v>2009</v>
      </c>
      <c r="B26" s="170">
        <v>17792.401574115622</v>
      </c>
      <c r="C26" s="164">
        <f t="shared" si="8"/>
        <v>239129.877156114</v>
      </c>
      <c r="D26" s="166">
        <f t="shared" si="9"/>
        <v>7.2025159614124368E-2</v>
      </c>
      <c r="E26" s="158">
        <v>0.02</v>
      </c>
      <c r="F26" s="97">
        <f>(D26+1)/(E26+1)-1</f>
        <v>5.1005058445219964E-2</v>
      </c>
    </row>
    <row r="27" spans="1:16" ht="19.5" thickBot="1">
      <c r="A27" s="138" t="s">
        <v>464</v>
      </c>
      <c r="B27" s="104"/>
      <c r="C27" s="133"/>
      <c r="D27" s="133"/>
      <c r="E27" s="134"/>
      <c r="F27" s="172">
        <f>AVERAGE(F17:F26)</f>
        <v>5.1005058445219922E-2</v>
      </c>
    </row>
    <row r="29" spans="1:16" ht="15.75" thickBot="1"/>
    <row r="30" spans="1:16" ht="90.75" thickBot="1">
      <c r="A30" s="129" t="s">
        <v>475</v>
      </c>
      <c r="B30" s="198" t="s">
        <v>479</v>
      </c>
      <c r="C30" s="129" t="s">
        <v>483</v>
      </c>
      <c r="D30" s="190" t="s">
        <v>467</v>
      </c>
      <c r="E30" s="129" t="s">
        <v>468</v>
      </c>
      <c r="F30" s="130" t="s">
        <v>480</v>
      </c>
      <c r="G30" s="130" t="s">
        <v>481</v>
      </c>
      <c r="J30" s="129" t="s">
        <v>475</v>
      </c>
      <c r="K30" s="317" t="s">
        <v>484</v>
      </c>
      <c r="L30" s="317" t="s">
        <v>485</v>
      </c>
      <c r="M30" s="129" t="s">
        <v>1182</v>
      </c>
      <c r="N30" s="129" t="s">
        <v>1181</v>
      </c>
      <c r="O30" s="129" t="s">
        <v>1180</v>
      </c>
      <c r="P30" s="129" t="s">
        <v>1183</v>
      </c>
    </row>
    <row r="31" spans="1:16">
      <c r="A31" s="141">
        <v>1999</v>
      </c>
      <c r="B31" s="197"/>
      <c r="C31" s="141"/>
      <c r="D31" s="196">
        <v>-0.19</v>
      </c>
      <c r="E31" s="141"/>
      <c r="F31" s="195"/>
      <c r="G31" s="195"/>
      <c r="J31" s="141">
        <v>1999</v>
      </c>
      <c r="K31" s="313">
        <v>485206</v>
      </c>
      <c r="L31" s="313">
        <v>390367</v>
      </c>
      <c r="M31" s="247">
        <f>K31+L31</f>
        <v>875573</v>
      </c>
      <c r="N31" s="136"/>
      <c r="O31" s="155">
        <v>9.2299999999999993E-2</v>
      </c>
      <c r="P31" s="136"/>
    </row>
    <row r="32" spans="1:16">
      <c r="A32" s="141">
        <v>2000</v>
      </c>
      <c r="B32" s="199">
        <v>2204134</v>
      </c>
      <c r="C32" s="182"/>
      <c r="D32" s="145">
        <v>9.7172655199433397E-2</v>
      </c>
      <c r="E32" s="156">
        <v>8.7499999999999994E-2</v>
      </c>
      <c r="F32" s="182"/>
      <c r="G32" s="182"/>
      <c r="J32" s="141">
        <v>2000</v>
      </c>
      <c r="K32" s="314">
        <v>522651</v>
      </c>
      <c r="L32" s="314">
        <v>458518</v>
      </c>
      <c r="M32" s="250">
        <f t="shared" ref="M32:M41" si="11">K32+L32</f>
        <v>981169</v>
      </c>
      <c r="N32" s="166">
        <f>M32/M31-1</f>
        <v>0.12060216566751136</v>
      </c>
      <c r="O32" s="156">
        <v>8.7499999999999994E-2</v>
      </c>
      <c r="P32" s="166">
        <f>(N32+1)/(O32+1)-1</f>
        <v>3.0438773027596788E-2</v>
      </c>
    </row>
    <row r="33" spans="1:16">
      <c r="A33" s="141">
        <v>2001</v>
      </c>
      <c r="B33" s="199">
        <v>1749660</v>
      </c>
      <c r="C33" s="153">
        <f>B33/B32-1</f>
        <v>-0.20619163807645091</v>
      </c>
      <c r="D33" s="145">
        <v>3.6294799346331813E-2</v>
      </c>
      <c r="E33" s="156">
        <v>7.6499999999999999E-2</v>
      </c>
      <c r="F33" s="184">
        <f>(C33+1)/(E33+1)-1</f>
        <v>-0.2626025434987932</v>
      </c>
      <c r="G33" s="166">
        <f>(F33+1)/(D33+1)-1</f>
        <v>-0.28842887471177292</v>
      </c>
      <c r="J33" s="141">
        <v>2001</v>
      </c>
      <c r="K33" s="314">
        <v>539256</v>
      </c>
      <c r="L33" s="314">
        <v>486780</v>
      </c>
      <c r="M33" s="250">
        <f t="shared" si="11"/>
        <v>1026036</v>
      </c>
      <c r="N33" s="166">
        <f>M33/M32-1</f>
        <v>4.5728105963396715E-2</v>
      </c>
      <c r="O33" s="156">
        <v>7.6499999999999999E-2</v>
      </c>
      <c r="P33" s="166">
        <f>(N33+1)/(O33+1)-1</f>
        <v>-2.8585131478498171E-2</v>
      </c>
    </row>
    <row r="34" spans="1:16">
      <c r="A34" s="141">
        <v>2002</v>
      </c>
      <c r="B34" s="199">
        <v>1542233</v>
      </c>
      <c r="C34" s="153">
        <f t="shared" ref="C34:C41" si="12">B34/B33-1</f>
        <v>-0.1185527473909217</v>
      </c>
      <c r="D34" s="145">
        <v>1.8721421578953967E-2</v>
      </c>
      <c r="E34" s="156">
        <v>6.9900000000000004E-2</v>
      </c>
      <c r="F34" s="184">
        <f t="shared" ref="F34:F41" si="13">(C34+1)/(E34+1)-1</f>
        <v>-0.17614052471345154</v>
      </c>
      <c r="G34" s="166">
        <f t="shared" ref="G34:G41" si="14">(F34+1)/(D34+1)-1</f>
        <v>-0.19128089599841902</v>
      </c>
      <c r="J34" s="141">
        <v>2002</v>
      </c>
      <c r="K34" s="314">
        <v>541713</v>
      </c>
      <c r="L34" s="314">
        <v>492777</v>
      </c>
      <c r="M34" s="250">
        <f t="shared" si="11"/>
        <v>1034490</v>
      </c>
      <c r="N34" s="166">
        <f t="shared" ref="N34:N41" si="15">M34/M33-1</f>
        <v>8.2394769774158938E-3</v>
      </c>
      <c r="O34" s="156">
        <v>6.9900000000000004E-2</v>
      </c>
      <c r="P34" s="166">
        <f t="shared" ref="P34:P41" si="16">(N34+1)/(O34+1)-1</f>
        <v>-5.7632043202714422E-2</v>
      </c>
    </row>
    <row r="35" spans="1:16">
      <c r="A35" s="141">
        <v>2003</v>
      </c>
      <c r="B35" s="199">
        <v>1334153</v>
      </c>
      <c r="C35" s="153">
        <f t="shared" si="12"/>
        <v>-0.13492124730828614</v>
      </c>
      <c r="D35" s="145">
        <v>5.2420410079715936E-2</v>
      </c>
      <c r="E35" s="156">
        <v>6.4899999999999999E-2</v>
      </c>
      <c r="F35" s="184">
        <f t="shared" si="13"/>
        <v>-0.18764320340716134</v>
      </c>
      <c r="G35" s="166">
        <f t="shared" si="14"/>
        <v>-0.22810619329274839</v>
      </c>
      <c r="J35" s="141">
        <v>2003</v>
      </c>
      <c r="K35" s="314">
        <v>553568</v>
      </c>
      <c r="L35" s="314">
        <v>484863</v>
      </c>
      <c r="M35" s="250">
        <f t="shared" si="11"/>
        <v>1038431</v>
      </c>
      <c r="N35" s="166">
        <f t="shared" si="15"/>
        <v>3.8096066660866512E-3</v>
      </c>
      <c r="O35" s="156">
        <v>6.4899999999999999E-2</v>
      </c>
      <c r="P35" s="166">
        <f t="shared" si="16"/>
        <v>-5.7367258272056798E-2</v>
      </c>
    </row>
    <row r="36" spans="1:16">
      <c r="A36" s="141">
        <v>2004</v>
      </c>
      <c r="B36" s="199">
        <v>814395</v>
      </c>
      <c r="C36" s="153">
        <f t="shared" si="12"/>
        <v>-0.3895790063058735</v>
      </c>
      <c r="D36" s="145">
        <v>8.7963391805855343E-2</v>
      </c>
      <c r="E36" s="157">
        <v>5.4975226515432629E-2</v>
      </c>
      <c r="F36" s="184">
        <f t="shared" si="13"/>
        <v>-0.42138831476608418</v>
      </c>
      <c r="G36" s="166">
        <f t="shared" si="14"/>
        <v>-0.4681698946933246</v>
      </c>
      <c r="J36" s="141">
        <v>2004</v>
      </c>
      <c r="K36" s="314">
        <v>506340</v>
      </c>
      <c r="L36" s="314">
        <v>495072</v>
      </c>
      <c r="M36" s="250">
        <f t="shared" si="11"/>
        <v>1001412</v>
      </c>
      <c r="N36" s="166">
        <f t="shared" si="15"/>
        <v>-3.5648974269835931E-2</v>
      </c>
      <c r="O36" s="157">
        <v>5.4975226515432629E-2</v>
      </c>
      <c r="P36" s="166">
        <f t="shared" si="16"/>
        <v>-8.5901733526576707E-2</v>
      </c>
    </row>
    <row r="37" spans="1:16">
      <c r="A37" s="141">
        <v>2005</v>
      </c>
      <c r="B37" s="199">
        <v>2097306</v>
      </c>
      <c r="C37" s="153">
        <f t="shared" si="12"/>
        <v>1.5752933158970768</v>
      </c>
      <c r="D37" s="145">
        <v>8.5217737331095555E-2</v>
      </c>
      <c r="E37" s="157">
        <v>4.8525780949691733E-2</v>
      </c>
      <c r="F37" s="184">
        <f t="shared" si="13"/>
        <v>1.4561087220616842</v>
      </c>
      <c r="G37" s="166">
        <f t="shared" si="14"/>
        <v>1.2632404885880844</v>
      </c>
      <c r="J37" s="141">
        <v>2005</v>
      </c>
      <c r="K37" s="314">
        <v>562993</v>
      </c>
      <c r="L37" s="314">
        <v>547969</v>
      </c>
      <c r="M37" s="250">
        <f t="shared" si="11"/>
        <v>1110962</v>
      </c>
      <c r="N37" s="166">
        <f t="shared" si="15"/>
        <v>0.10939553350668851</v>
      </c>
      <c r="O37" s="157">
        <v>4.8525780949691733E-2</v>
      </c>
      <c r="P37" s="166">
        <f t="shared" si="16"/>
        <v>5.8052699955421838E-2</v>
      </c>
    </row>
    <row r="38" spans="1:16">
      <c r="A38" s="141">
        <v>2006</v>
      </c>
      <c r="B38" s="199">
        <v>2482082</v>
      </c>
      <c r="C38" s="153">
        <f t="shared" si="12"/>
        <v>0.18346202223233044</v>
      </c>
      <c r="D38" s="145">
        <v>0.12564286626297985</v>
      </c>
      <c r="E38" s="65">
        <v>4.48E-2</v>
      </c>
      <c r="F38" s="184">
        <f t="shared" si="13"/>
        <v>0.13271633062053079</v>
      </c>
      <c r="G38" s="166">
        <f t="shared" si="14"/>
        <v>6.2839330035771024E-3</v>
      </c>
      <c r="J38" s="141">
        <v>2006</v>
      </c>
      <c r="K38" s="314">
        <v>661046</v>
      </c>
      <c r="L38" s="314">
        <v>626929</v>
      </c>
      <c r="M38" s="250">
        <f t="shared" si="11"/>
        <v>1287975</v>
      </c>
      <c r="N38" s="166">
        <f t="shared" si="15"/>
        <v>0.15933308249967149</v>
      </c>
      <c r="O38" s="65">
        <v>4.48E-2</v>
      </c>
      <c r="P38" s="166">
        <f t="shared" si="16"/>
        <v>0.10962201617503009</v>
      </c>
    </row>
    <row r="39" spans="1:16">
      <c r="A39" s="141">
        <v>2007</v>
      </c>
      <c r="B39" s="199">
        <v>3096554</v>
      </c>
      <c r="C39" s="153">
        <f t="shared" si="12"/>
        <v>0.24756313449757106</v>
      </c>
      <c r="D39" s="145">
        <v>0.12312253401472532</v>
      </c>
      <c r="E39" s="65">
        <v>5.6899999999999999E-2</v>
      </c>
      <c r="F39" s="184">
        <f t="shared" si="13"/>
        <v>0.18039846200924514</v>
      </c>
      <c r="G39" s="166">
        <f t="shared" si="14"/>
        <v>5.0997042851398167E-2</v>
      </c>
      <c r="J39" s="141">
        <v>2007</v>
      </c>
      <c r="K39" s="314">
        <v>721679</v>
      </c>
      <c r="L39" s="314">
        <v>757959</v>
      </c>
      <c r="M39" s="250">
        <f t="shared" si="11"/>
        <v>1479638</v>
      </c>
      <c r="N39" s="166">
        <f t="shared" si="15"/>
        <v>0.14880956540305523</v>
      </c>
      <c r="O39" s="65">
        <v>5.6899999999999999E-2</v>
      </c>
      <c r="P39" s="166">
        <f t="shared" si="16"/>
        <v>8.6961458419013482E-2</v>
      </c>
    </row>
    <row r="40" spans="1:16">
      <c r="A40" s="141">
        <v>2008</v>
      </c>
      <c r="B40" s="199">
        <v>3044830</v>
      </c>
      <c r="C40" s="153">
        <f t="shared" si="12"/>
        <v>-1.6703729371423837E-2</v>
      </c>
      <c r="D40" s="37"/>
      <c r="E40" s="65">
        <v>7.6700000000000004E-2</v>
      </c>
      <c r="F40" s="184">
        <f t="shared" si="13"/>
        <v>-8.6750004060020314E-2</v>
      </c>
      <c r="G40" s="166">
        <f t="shared" si="14"/>
        <v>-8.6750004060020314E-2</v>
      </c>
      <c r="J40" s="141">
        <v>2008</v>
      </c>
      <c r="K40" s="314">
        <v>773795</v>
      </c>
      <c r="L40" s="314">
        <v>822470</v>
      </c>
      <c r="M40" s="250">
        <f t="shared" si="11"/>
        <v>1596265</v>
      </c>
      <c r="N40" s="166">
        <f t="shared" si="15"/>
        <v>7.8821306292484961E-2</v>
      </c>
      <c r="O40" s="65">
        <v>7.6700000000000004E-2</v>
      </c>
      <c r="P40" s="166">
        <f t="shared" si="16"/>
        <v>1.9701925257591402E-3</v>
      </c>
    </row>
    <row r="41" spans="1:16" ht="15.75" thickBot="1">
      <c r="A41" s="122">
        <v>2009</v>
      </c>
      <c r="B41" s="200">
        <v>3680937</v>
      </c>
      <c r="C41" s="154">
        <f t="shared" si="12"/>
        <v>0.20891379814308197</v>
      </c>
      <c r="D41" s="26"/>
      <c r="E41" s="158">
        <v>0.02</v>
      </c>
      <c r="F41" s="185">
        <f t="shared" si="13"/>
        <v>0.18520960602262937</v>
      </c>
      <c r="G41" s="191">
        <f t="shared" si="14"/>
        <v>0.18520960602262937</v>
      </c>
      <c r="J41" s="122">
        <v>2009</v>
      </c>
      <c r="K41" s="315">
        <v>793097</v>
      </c>
      <c r="L41" s="315">
        <v>827668</v>
      </c>
      <c r="M41" s="316">
        <f t="shared" si="11"/>
        <v>1620765</v>
      </c>
      <c r="N41" s="191">
        <f t="shared" si="15"/>
        <v>1.5348328754937413E-2</v>
      </c>
      <c r="O41" s="158">
        <v>0.02</v>
      </c>
      <c r="P41" s="191">
        <f t="shared" si="16"/>
        <v>-4.5604620049632949E-3</v>
      </c>
    </row>
    <row r="42" spans="1:16" ht="15.75" thickBot="1">
      <c r="A42" s="104" t="s">
        <v>464</v>
      </c>
      <c r="B42" s="193">
        <f>AVERAGE(B32:B41)</f>
        <v>2204628.4</v>
      </c>
      <c r="C42" s="192"/>
      <c r="D42" s="194">
        <f>AVERAGE(D31:D41)</f>
        <v>4.8506201735454585E-2</v>
      </c>
      <c r="E42" s="162">
        <f t="shared" ref="E42:G42" si="17">AVERAGE(E32:E41)</f>
        <v>6.0070100746512436E-2</v>
      </c>
      <c r="F42" s="162">
        <f t="shared" si="17"/>
        <v>9.1100947807619861E-2</v>
      </c>
      <c r="G42" s="162">
        <f t="shared" si="17"/>
        <v>2.6999467523267071E-2</v>
      </c>
      <c r="J42" s="138" t="s">
        <v>464</v>
      </c>
      <c r="K42" s="104"/>
      <c r="L42" s="286"/>
      <c r="M42" s="286"/>
      <c r="N42" s="286"/>
      <c r="O42" s="286"/>
      <c r="P42" s="304">
        <f>AVERAGE(P36:P41)</f>
        <v>2.7690695257280757E-2</v>
      </c>
    </row>
    <row r="44" spans="1:16">
      <c r="O44" s="290"/>
    </row>
    <row r="45" spans="1:16">
      <c r="B45" s="2"/>
      <c r="O45" s="290"/>
    </row>
    <row r="48" spans="1:16" ht="15.75" thickBot="1"/>
    <row r="49" spans="1:10" ht="60.75" thickBot="1">
      <c r="A49" s="275" t="s">
        <v>475</v>
      </c>
      <c r="B49" s="190" t="s">
        <v>1163</v>
      </c>
      <c r="C49" s="190" t="s">
        <v>1151</v>
      </c>
      <c r="D49" s="190" t="s">
        <v>1164</v>
      </c>
      <c r="E49" s="190" t="s">
        <v>1165</v>
      </c>
      <c r="F49" s="190" t="s">
        <v>1166</v>
      </c>
      <c r="G49" s="190" t="s">
        <v>1177</v>
      </c>
      <c r="H49" s="190" t="s">
        <v>474</v>
      </c>
      <c r="I49" s="190" t="s">
        <v>1178</v>
      </c>
      <c r="J49" s="198" t="s">
        <v>1179</v>
      </c>
    </row>
    <row r="50" spans="1:10">
      <c r="A50" s="293">
        <v>1999</v>
      </c>
      <c r="B50" s="27">
        <v>236460</v>
      </c>
      <c r="C50" s="155">
        <v>9.2299999999999993E-2</v>
      </c>
      <c r="D50" s="284"/>
      <c r="E50" s="136"/>
      <c r="F50" s="634">
        <f>AVERAGE(E51:E59)</f>
        <v>1.2436717272333482E-2</v>
      </c>
      <c r="G50" s="284">
        <v>2010</v>
      </c>
      <c r="H50" s="64">
        <v>3.5999999999999997E-2</v>
      </c>
      <c r="I50" s="294">
        <f>($E$61+1)*(H50+1)-1</f>
        <v>5.3355585608108713E-2</v>
      </c>
      <c r="J50" s="302">
        <f>E68*(1+I50)</f>
        <v>8398.4040840534508</v>
      </c>
    </row>
    <row r="51" spans="1:10">
      <c r="A51" s="295">
        <v>2000</v>
      </c>
      <c r="B51" s="28">
        <v>260100</v>
      </c>
      <c r="C51" s="156">
        <v>8.7499999999999994E-2</v>
      </c>
      <c r="D51" s="296">
        <f>B51/B50-1</f>
        <v>9.9974625729510214E-2</v>
      </c>
      <c r="E51" s="166">
        <f>(D51+1)/(C51+1)-1</f>
        <v>1.14709202110439E-2</v>
      </c>
      <c r="F51" s="635"/>
      <c r="G51" s="37">
        <v>2011</v>
      </c>
      <c r="H51" s="65">
        <v>3.6450000000000003E-2</v>
      </c>
      <c r="I51" s="296">
        <f t="shared" ref="I51:I59" si="18">($E$61+1)*(H51+1)-1</f>
        <v>5.3813124231200993E-2</v>
      </c>
      <c r="J51" s="303">
        <f>J50*(I51+1)</f>
        <v>8850.3484463724453</v>
      </c>
    </row>
    <row r="52" spans="1:10">
      <c r="A52" s="295">
        <v>2001</v>
      </c>
      <c r="B52" s="28">
        <v>286000</v>
      </c>
      <c r="C52" s="156">
        <v>7.6499999999999999E-2</v>
      </c>
      <c r="D52" s="296">
        <f t="shared" ref="D52:D60" si="19">B52/B51-1</f>
        <v>9.9577085736255233E-2</v>
      </c>
      <c r="E52" s="166">
        <f t="shared" ref="E52:E60" si="20">(D52+1)/(C52+1)-1</f>
        <v>2.1437144204603076E-2</v>
      </c>
      <c r="F52" s="635"/>
      <c r="G52" s="37">
        <v>2012</v>
      </c>
      <c r="H52" s="65">
        <v>3.6150000000000002E-2</v>
      </c>
      <c r="I52" s="296">
        <f t="shared" si="18"/>
        <v>5.350809848247251E-2</v>
      </c>
      <c r="J52" s="303">
        <f>J51*(I52+1)</f>
        <v>9323.9137626451393</v>
      </c>
    </row>
    <row r="53" spans="1:10">
      <c r="A53" s="295">
        <v>2002</v>
      </c>
      <c r="B53" s="28">
        <v>304000</v>
      </c>
      <c r="C53" s="156">
        <v>6.9900000000000004E-2</v>
      </c>
      <c r="D53" s="296">
        <f t="shared" si="19"/>
        <v>6.2937062937062915E-2</v>
      </c>
      <c r="E53" s="166">
        <f t="shared" si="20"/>
        <v>-6.5080260425620651E-3</v>
      </c>
      <c r="F53" s="635"/>
      <c r="G53" s="37">
        <v>2013</v>
      </c>
      <c r="H53" s="65">
        <v>3.5000000000000003E-2</v>
      </c>
      <c r="I53" s="296">
        <f t="shared" si="18"/>
        <v>5.2338833112347771E-2</v>
      </c>
      <c r="J53" s="303">
        <f t="shared" ref="J53:J59" si="21">J52*(I53+1)</f>
        <v>9811.9165290221463</v>
      </c>
    </row>
    <row r="54" spans="1:10">
      <c r="A54" s="295">
        <v>2003</v>
      </c>
      <c r="B54" s="28">
        <v>332000</v>
      </c>
      <c r="C54" s="156">
        <v>6.4899999999999999E-2</v>
      </c>
      <c r="D54" s="296">
        <f t="shared" si="19"/>
        <v>9.210526315789469E-2</v>
      </c>
      <c r="E54" s="166">
        <f t="shared" si="20"/>
        <v>2.5547246838101945E-2</v>
      </c>
      <c r="F54" s="635"/>
      <c r="G54" s="37">
        <v>2014</v>
      </c>
      <c r="H54" s="65">
        <v>3.5000000000000003E-2</v>
      </c>
      <c r="I54" s="296">
        <f t="shared" si="18"/>
        <v>5.2338833112347771E-2</v>
      </c>
      <c r="J54" s="303">
        <f t="shared" si="21"/>
        <v>10325.460790746924</v>
      </c>
    </row>
    <row r="55" spans="1:10">
      <c r="A55" s="295">
        <v>2004</v>
      </c>
      <c r="B55" s="28">
        <v>358000</v>
      </c>
      <c r="C55" s="157">
        <v>5.4975226515432629E-2</v>
      </c>
      <c r="D55" s="296">
        <f t="shared" si="19"/>
        <v>7.8313253012048278E-2</v>
      </c>
      <c r="E55" s="166">
        <f t="shared" si="20"/>
        <v>2.2121871594749098E-2</v>
      </c>
      <c r="F55" s="635"/>
      <c r="G55" s="37">
        <v>2015</v>
      </c>
      <c r="H55" s="183">
        <v>0.03</v>
      </c>
      <c r="I55" s="296">
        <f t="shared" si="18"/>
        <v>4.7255070633544172E-2</v>
      </c>
      <c r="J55" s="303">
        <f t="shared" si="21"/>
        <v>10813.391169737561</v>
      </c>
    </row>
    <row r="56" spans="1:10">
      <c r="A56" s="295">
        <v>2005</v>
      </c>
      <c r="B56" s="28">
        <v>381500</v>
      </c>
      <c r="C56" s="157">
        <v>4.8525780949691733E-2</v>
      </c>
      <c r="D56" s="296">
        <f t="shared" si="19"/>
        <v>6.5642458100558576E-2</v>
      </c>
      <c r="E56" s="166">
        <f t="shared" si="20"/>
        <v>1.6324517204873601E-2</v>
      </c>
      <c r="F56" s="635"/>
      <c r="G56" s="37">
        <v>2016</v>
      </c>
      <c r="H56" s="183">
        <v>0.03</v>
      </c>
      <c r="I56" s="296">
        <f t="shared" si="18"/>
        <v>4.7255070633544172E-2</v>
      </c>
      <c r="J56" s="303">
        <f t="shared" si="21"/>
        <v>11324.378733251651</v>
      </c>
    </row>
    <row r="57" spans="1:10">
      <c r="A57" s="295">
        <v>2006</v>
      </c>
      <c r="B57" s="28">
        <v>408000</v>
      </c>
      <c r="C57" s="65">
        <v>4.48E-2</v>
      </c>
      <c r="D57" s="296">
        <f t="shared" si="19"/>
        <v>6.9462647444298753E-2</v>
      </c>
      <c r="E57" s="166">
        <f t="shared" si="20"/>
        <v>2.3605137293547962E-2</v>
      </c>
      <c r="F57" s="635"/>
      <c r="G57" s="37">
        <v>2017</v>
      </c>
      <c r="H57" s="183">
        <v>0.03</v>
      </c>
      <c r="I57" s="296">
        <f t="shared" si="18"/>
        <v>4.7255070633544172E-2</v>
      </c>
      <c r="J57" s="303">
        <f t="shared" si="21"/>
        <v>11859.513050172463</v>
      </c>
    </row>
    <row r="58" spans="1:10">
      <c r="A58" s="295">
        <v>2007</v>
      </c>
      <c r="B58" s="299">
        <v>403700</v>
      </c>
      <c r="C58" s="65">
        <v>5.6899999999999999E-2</v>
      </c>
      <c r="D58" s="296">
        <f t="shared" si="19"/>
        <v>-1.0539215686274472E-2</v>
      </c>
      <c r="E58" s="166">
        <f t="shared" si="20"/>
        <v>-6.3808511388281253E-2</v>
      </c>
      <c r="F58" s="635"/>
      <c r="G58" s="37">
        <v>2018</v>
      </c>
      <c r="H58" s="183">
        <v>0.03</v>
      </c>
      <c r="I58" s="296">
        <f t="shared" si="18"/>
        <v>4.7255070633544172E-2</v>
      </c>
      <c r="J58" s="303">
        <f t="shared" si="21"/>
        <v>12419.935177037802</v>
      </c>
    </row>
    <row r="59" spans="1:10">
      <c r="A59" s="295">
        <v>2008</v>
      </c>
      <c r="B59" s="300">
        <v>461500</v>
      </c>
      <c r="C59" s="65">
        <v>7.6700000000000004E-2</v>
      </c>
      <c r="D59" s="296">
        <f t="shared" si="19"/>
        <v>0.14317562546445384</v>
      </c>
      <c r="E59" s="166">
        <f t="shared" si="20"/>
        <v>6.1740155534925067E-2</v>
      </c>
      <c r="F59" s="635"/>
      <c r="G59" s="37">
        <v>2019</v>
      </c>
      <c r="H59" s="183">
        <v>0.03</v>
      </c>
      <c r="I59" s="296">
        <f t="shared" si="18"/>
        <v>4.7255070633544172E-2</v>
      </c>
      <c r="J59" s="303">
        <f t="shared" si="21"/>
        <v>13006.840091092763</v>
      </c>
    </row>
    <row r="60" spans="1:10" ht="15.75" thickBot="1">
      <c r="A60" s="297">
        <v>2009</v>
      </c>
      <c r="B60" s="301">
        <v>496900</v>
      </c>
      <c r="C60" s="158">
        <v>0.02</v>
      </c>
      <c r="D60" s="298">
        <f t="shared" si="19"/>
        <v>7.6706392199350049E-2</v>
      </c>
      <c r="E60" s="191">
        <f t="shared" si="20"/>
        <v>5.5594502156225412E-2</v>
      </c>
      <c r="F60" s="636"/>
      <c r="G60" s="26"/>
      <c r="H60" s="137"/>
      <c r="I60" s="26"/>
      <c r="J60" s="137"/>
    </row>
    <row r="61" spans="1:10" ht="15.75" thickBot="1">
      <c r="A61" s="138" t="s">
        <v>464</v>
      </c>
      <c r="B61" s="104"/>
      <c r="C61" s="286"/>
      <c r="D61" s="286"/>
      <c r="E61" s="304">
        <f>AVERAGE(E51:E60)</f>
        <v>1.6752495760722675E-2</v>
      </c>
      <c r="F61" s="286"/>
      <c r="G61" s="286"/>
      <c r="H61" s="286"/>
      <c r="I61" s="286"/>
      <c r="J61" s="287"/>
    </row>
    <row r="65" spans="1:18">
      <c r="G65" s="37"/>
    </row>
    <row r="66" spans="1:18" ht="15.75" thickBot="1"/>
    <row r="67" spans="1:18" ht="15.75" thickBot="1">
      <c r="B67" s="309" t="s">
        <v>463</v>
      </c>
      <c r="C67" s="337">
        <v>1999</v>
      </c>
      <c r="D67" s="338">
        <v>2000</v>
      </c>
      <c r="E67" s="339">
        <v>2001</v>
      </c>
      <c r="F67" s="338">
        <v>2002</v>
      </c>
      <c r="G67" s="339">
        <v>2003</v>
      </c>
      <c r="H67" s="338">
        <v>2004</v>
      </c>
      <c r="I67" s="339">
        <v>2005</v>
      </c>
      <c r="J67" s="338">
        <v>2006</v>
      </c>
      <c r="K67" s="339">
        <v>2007</v>
      </c>
      <c r="L67" s="338">
        <v>2008</v>
      </c>
      <c r="M67" s="340">
        <v>2009</v>
      </c>
    </row>
    <row r="68" spans="1:18" ht="15.75" thickBot="1">
      <c r="B68" s="129" t="s">
        <v>1184</v>
      </c>
      <c r="C68" s="318">
        <v>6050</v>
      </c>
      <c r="D68" s="336">
        <v>6970</v>
      </c>
      <c r="E68" s="319">
        <v>7973</v>
      </c>
      <c r="F68" s="336">
        <v>8915</v>
      </c>
      <c r="G68" s="318">
        <v>9999</v>
      </c>
      <c r="H68" s="336">
        <v>11211</v>
      </c>
      <c r="I68" s="318">
        <v>12362</v>
      </c>
      <c r="J68" s="336">
        <v>13693</v>
      </c>
      <c r="K68" s="336">
        <v>15019</v>
      </c>
      <c r="L68" s="336">
        <v>16597</v>
      </c>
      <c r="M68" s="310">
        <f>B26</f>
        <v>17792.401574115622</v>
      </c>
      <c r="P68" s="37"/>
      <c r="Q68" s="37"/>
      <c r="R68" s="37"/>
    </row>
    <row r="69" spans="1:18" ht="30.75" thickBot="1">
      <c r="B69" s="129" t="s">
        <v>1175</v>
      </c>
      <c r="C69" s="311">
        <f>C68/($B$71+$B$74)</f>
        <v>64844.587352625938</v>
      </c>
      <c r="D69" s="311">
        <f>D68/($B$71+$B$74)</f>
        <v>74705.251875669885</v>
      </c>
      <c r="E69" s="311">
        <f t="shared" ref="E69:M69" si="22">E68/($B$71+$B$74)</f>
        <v>85455.519828510194</v>
      </c>
      <c r="F69" s="311">
        <f t="shared" si="22"/>
        <v>95551.982851018227</v>
      </c>
      <c r="G69" s="311">
        <f t="shared" si="22"/>
        <v>107170.41800643087</v>
      </c>
      <c r="H69" s="311">
        <f t="shared" si="22"/>
        <v>120160.77170418008</v>
      </c>
      <c r="I69" s="311">
        <f t="shared" si="22"/>
        <v>132497.32047159702</v>
      </c>
      <c r="J69" s="311">
        <f t="shared" si="22"/>
        <v>146763.1296891747</v>
      </c>
      <c r="K69" s="311">
        <f t="shared" si="22"/>
        <v>160975.34833869239</v>
      </c>
      <c r="L69" s="311">
        <f t="shared" si="22"/>
        <v>177888.53161843517</v>
      </c>
      <c r="M69" s="311">
        <f t="shared" si="22"/>
        <v>190700.98150177515</v>
      </c>
      <c r="P69" s="320"/>
      <c r="Q69" s="37"/>
      <c r="R69" s="38"/>
    </row>
    <row r="70" spans="1:18" ht="30.75" thickBot="1">
      <c r="A70" s="308">
        <v>0.12</v>
      </c>
      <c r="B70" s="129" t="s">
        <v>1176</v>
      </c>
      <c r="C70" s="307">
        <f>SUM(C71:C78)</f>
        <v>44632.529474812429</v>
      </c>
      <c r="D70" s="307">
        <f t="shared" ref="D70:M70" si="23">SUM(D71:D78)</f>
        <v>51419.62486602358</v>
      </c>
      <c r="E70" s="307">
        <f t="shared" si="23"/>
        <v>58819.034297963561</v>
      </c>
      <c r="F70" s="307">
        <f t="shared" si="23"/>
        <v>65768.429796355835</v>
      </c>
      <c r="G70" s="307">
        <f t="shared" si="23"/>
        <v>73765.398713826376</v>
      </c>
      <c r="H70" s="307">
        <f t="shared" si="23"/>
        <v>82706.659163987148</v>
      </c>
      <c r="I70" s="307">
        <f t="shared" si="23"/>
        <v>91197.905680600234</v>
      </c>
      <c r="J70" s="307">
        <f t="shared" si="23"/>
        <v>101017.06216505895</v>
      </c>
      <c r="K70" s="307">
        <f t="shared" si="23"/>
        <v>110799.33226152197</v>
      </c>
      <c r="L70" s="307">
        <f t="shared" si="23"/>
        <v>122440.67631296894</v>
      </c>
      <c r="M70" s="307">
        <f t="shared" si="23"/>
        <v>131259.48556767183</v>
      </c>
    </row>
    <row r="71" spans="1:18">
      <c r="A71" s="146" t="s">
        <v>1167</v>
      </c>
      <c r="B71" s="204">
        <v>8.3299999999999999E-2</v>
      </c>
      <c r="C71" s="305">
        <f>C69*$B$71</f>
        <v>5401.5541264737403</v>
      </c>
      <c r="D71" s="305">
        <f t="shared" ref="D71:M71" si="24">D69*$B$71</f>
        <v>6222.9474812433009</v>
      </c>
      <c r="E71" s="305">
        <f t="shared" si="24"/>
        <v>7118.4448017148989</v>
      </c>
      <c r="F71" s="305">
        <f t="shared" si="24"/>
        <v>7959.4801714898185</v>
      </c>
      <c r="G71" s="305">
        <f t="shared" si="24"/>
        <v>8927.2958199356926</v>
      </c>
      <c r="H71" s="305">
        <f t="shared" si="24"/>
        <v>10009.392282958201</v>
      </c>
      <c r="I71" s="305">
        <f t="shared" si="24"/>
        <v>11037.026795284031</v>
      </c>
      <c r="J71" s="305">
        <f t="shared" si="24"/>
        <v>12225.368703108254</v>
      </c>
      <c r="K71" s="305">
        <f t="shared" si="24"/>
        <v>13409.246516613077</v>
      </c>
      <c r="L71" s="305">
        <f t="shared" si="24"/>
        <v>14818.114683815649</v>
      </c>
      <c r="M71" s="305">
        <f t="shared" si="24"/>
        <v>15885.391759097871</v>
      </c>
    </row>
    <row r="72" spans="1:18">
      <c r="A72" s="141" t="s">
        <v>1168</v>
      </c>
      <c r="B72" s="166">
        <v>4.1700000000000001E-2</v>
      </c>
      <c r="C72" s="306">
        <f>C69*$B$72</f>
        <v>2704.0192926045015</v>
      </c>
      <c r="D72" s="306">
        <f t="shared" ref="D72:M72" si="25">D69*$B$72</f>
        <v>3115.2090032154342</v>
      </c>
      <c r="E72" s="306">
        <f t="shared" si="25"/>
        <v>3563.495176848875</v>
      </c>
      <c r="F72" s="306">
        <f t="shared" si="25"/>
        <v>3984.5176848874603</v>
      </c>
      <c r="G72" s="306">
        <f t="shared" si="25"/>
        <v>4469.0064308681676</v>
      </c>
      <c r="H72" s="306">
        <f t="shared" si="25"/>
        <v>5010.7041800643092</v>
      </c>
      <c r="I72" s="306">
        <f t="shared" si="25"/>
        <v>5525.1382636655962</v>
      </c>
      <c r="J72" s="306">
        <f t="shared" si="25"/>
        <v>6120.0225080385853</v>
      </c>
      <c r="K72" s="306">
        <f t="shared" si="25"/>
        <v>6712.6720257234729</v>
      </c>
      <c r="L72" s="306">
        <f t="shared" si="25"/>
        <v>7417.9517684887469</v>
      </c>
      <c r="M72" s="306">
        <f t="shared" si="25"/>
        <v>7952.2309286240243</v>
      </c>
    </row>
    <row r="73" spans="1:18">
      <c r="A73" s="141" t="s">
        <v>1169</v>
      </c>
      <c r="B73" s="166">
        <v>8.3299999999999999E-2</v>
      </c>
      <c r="C73" s="306">
        <f>C69*$B$73</f>
        <v>5401.5541264737403</v>
      </c>
      <c r="D73" s="306">
        <f>D69*$B$73</f>
        <v>6222.9474812433009</v>
      </c>
      <c r="E73" s="306">
        <f t="shared" ref="E73:M73" si="26">E69*$B$73</f>
        <v>7118.4448017148989</v>
      </c>
      <c r="F73" s="306">
        <f t="shared" si="26"/>
        <v>7959.4801714898185</v>
      </c>
      <c r="G73" s="306">
        <f t="shared" si="26"/>
        <v>8927.2958199356926</v>
      </c>
      <c r="H73" s="306">
        <f t="shared" si="26"/>
        <v>10009.392282958201</v>
      </c>
      <c r="I73" s="306">
        <f t="shared" si="26"/>
        <v>11037.026795284031</v>
      </c>
      <c r="J73" s="306">
        <f t="shared" si="26"/>
        <v>12225.368703108254</v>
      </c>
      <c r="K73" s="306">
        <f t="shared" si="26"/>
        <v>13409.246516613077</v>
      </c>
      <c r="L73" s="306">
        <f t="shared" si="26"/>
        <v>14818.114683815649</v>
      </c>
      <c r="M73" s="306">
        <f t="shared" si="26"/>
        <v>15885.391759097871</v>
      </c>
    </row>
    <row r="74" spans="1:18">
      <c r="A74" s="141" t="s">
        <v>1170</v>
      </c>
      <c r="B74" s="166">
        <v>0.01</v>
      </c>
      <c r="C74" s="306">
        <f t="shared" ref="C74:M74" si="27">C69*$A$70</f>
        <v>7781.3504823151125</v>
      </c>
      <c r="D74" s="306">
        <f t="shared" si="27"/>
        <v>8964.6302250803856</v>
      </c>
      <c r="E74" s="306">
        <f t="shared" si="27"/>
        <v>10254.662379421223</v>
      </c>
      <c r="F74" s="306">
        <f t="shared" si="27"/>
        <v>11466.237942122187</v>
      </c>
      <c r="G74" s="306">
        <f t="shared" si="27"/>
        <v>12860.450160771705</v>
      </c>
      <c r="H74" s="306">
        <f t="shared" si="27"/>
        <v>14419.292604501608</v>
      </c>
      <c r="I74" s="306">
        <f t="shared" si="27"/>
        <v>15899.678456591642</v>
      </c>
      <c r="J74" s="306">
        <f t="shared" si="27"/>
        <v>17611.575562700964</v>
      </c>
      <c r="K74" s="306">
        <f t="shared" si="27"/>
        <v>19317.041800643085</v>
      </c>
      <c r="L74" s="306">
        <f t="shared" si="27"/>
        <v>21346.623794212221</v>
      </c>
      <c r="M74" s="306">
        <f t="shared" si="27"/>
        <v>22884.117780213019</v>
      </c>
    </row>
    <row r="75" spans="1:18" ht="30">
      <c r="A75" s="141" t="s">
        <v>1171</v>
      </c>
      <c r="B75" s="166">
        <v>0.12</v>
      </c>
      <c r="C75" s="306">
        <f>C69*$B$75</f>
        <v>7781.3504823151125</v>
      </c>
      <c r="D75" s="306">
        <f>D69*$B$75</f>
        <v>8964.6302250803856</v>
      </c>
      <c r="E75" s="306">
        <f t="shared" ref="E75:M75" si="28">E69*$B$75</f>
        <v>10254.662379421223</v>
      </c>
      <c r="F75" s="306">
        <f t="shared" si="28"/>
        <v>11466.237942122187</v>
      </c>
      <c r="G75" s="306">
        <f t="shared" si="28"/>
        <v>12860.450160771705</v>
      </c>
      <c r="H75" s="306">
        <f t="shared" si="28"/>
        <v>14419.292604501608</v>
      </c>
      <c r="I75" s="306">
        <f t="shared" si="28"/>
        <v>15899.678456591642</v>
      </c>
      <c r="J75" s="306">
        <f t="shared" si="28"/>
        <v>17611.575562700964</v>
      </c>
      <c r="K75" s="306">
        <f t="shared" si="28"/>
        <v>19317.041800643085</v>
      </c>
      <c r="L75" s="306">
        <f t="shared" si="28"/>
        <v>21346.623794212221</v>
      </c>
      <c r="M75" s="306">
        <f t="shared" si="28"/>
        <v>22884.117780213019</v>
      </c>
    </row>
    <row r="76" spans="1:18">
      <c r="A76" s="141" t="s">
        <v>1172</v>
      </c>
      <c r="B76" s="166">
        <v>0.08</v>
      </c>
      <c r="C76" s="306">
        <f t="shared" ref="C76:M76" si="29">C69*$B$76</f>
        <v>5187.5669882100756</v>
      </c>
      <c r="D76" s="306">
        <f t="shared" si="29"/>
        <v>5976.420150053591</v>
      </c>
      <c r="E76" s="306">
        <f t="shared" si="29"/>
        <v>6836.4415862808155</v>
      </c>
      <c r="F76" s="306">
        <f t="shared" si="29"/>
        <v>7644.1586280814581</v>
      </c>
      <c r="G76" s="306">
        <f t="shared" si="29"/>
        <v>8573.6334405144698</v>
      </c>
      <c r="H76" s="306">
        <f t="shared" si="29"/>
        <v>9612.8617363344074</v>
      </c>
      <c r="I76" s="306">
        <f t="shared" si="29"/>
        <v>10599.785637727762</v>
      </c>
      <c r="J76" s="306">
        <f t="shared" si="29"/>
        <v>11741.050375133977</v>
      </c>
      <c r="K76" s="306">
        <f t="shared" si="29"/>
        <v>12878.027867095392</v>
      </c>
      <c r="L76" s="306">
        <f t="shared" si="29"/>
        <v>14231.082529474814</v>
      </c>
      <c r="M76" s="306">
        <f t="shared" si="29"/>
        <v>15256.078520142013</v>
      </c>
    </row>
    <row r="77" spans="1:18">
      <c r="A77" s="141" t="s">
        <v>1173</v>
      </c>
      <c r="B77" s="166">
        <v>0.12</v>
      </c>
      <c r="C77" s="306">
        <f t="shared" ref="C77:M77" si="30">C69*$B$77</f>
        <v>7781.3504823151125</v>
      </c>
      <c r="D77" s="306">
        <f t="shared" si="30"/>
        <v>8964.6302250803856</v>
      </c>
      <c r="E77" s="306">
        <f t="shared" si="30"/>
        <v>10254.662379421223</v>
      </c>
      <c r="F77" s="306">
        <f t="shared" si="30"/>
        <v>11466.237942122187</v>
      </c>
      <c r="G77" s="306">
        <f t="shared" si="30"/>
        <v>12860.450160771705</v>
      </c>
      <c r="H77" s="306">
        <f t="shared" si="30"/>
        <v>14419.292604501608</v>
      </c>
      <c r="I77" s="306">
        <f t="shared" si="30"/>
        <v>15899.678456591642</v>
      </c>
      <c r="J77" s="306">
        <f t="shared" si="30"/>
        <v>17611.575562700964</v>
      </c>
      <c r="K77" s="306">
        <f t="shared" si="30"/>
        <v>19317.041800643085</v>
      </c>
      <c r="L77" s="306">
        <f t="shared" si="30"/>
        <v>21346.623794212221</v>
      </c>
      <c r="M77" s="306">
        <f t="shared" si="30"/>
        <v>22884.117780213019</v>
      </c>
    </row>
    <row r="78" spans="1:18" ht="15.75" thickBot="1">
      <c r="A78" s="122" t="s">
        <v>1174</v>
      </c>
      <c r="B78" s="191">
        <v>0.04</v>
      </c>
      <c r="C78" s="307">
        <f t="shared" ref="C78:M78" si="31">C69*$B$78</f>
        <v>2593.7834941050378</v>
      </c>
      <c r="D78" s="307">
        <f t="shared" si="31"/>
        <v>2988.2100750267955</v>
      </c>
      <c r="E78" s="307">
        <f t="shared" si="31"/>
        <v>3418.2207931404077</v>
      </c>
      <c r="F78" s="307">
        <f t="shared" si="31"/>
        <v>3822.0793140407291</v>
      </c>
      <c r="G78" s="307">
        <f t="shared" si="31"/>
        <v>4286.8167202572349</v>
      </c>
      <c r="H78" s="307">
        <f t="shared" si="31"/>
        <v>4806.4308681672037</v>
      </c>
      <c r="I78" s="307">
        <f t="shared" si="31"/>
        <v>5299.8928188638811</v>
      </c>
      <c r="J78" s="307">
        <f t="shared" si="31"/>
        <v>5870.5251875669883</v>
      </c>
      <c r="K78" s="307">
        <f t="shared" si="31"/>
        <v>6439.0139335476961</v>
      </c>
      <c r="L78" s="307">
        <f t="shared" si="31"/>
        <v>7115.5412647374069</v>
      </c>
      <c r="M78" s="307">
        <f t="shared" si="31"/>
        <v>7628.0392600710065</v>
      </c>
    </row>
    <row r="80" spans="1:18" ht="15.75" thickBot="1"/>
    <row r="81" spans="1:8" ht="45.75" thickBot="1">
      <c r="A81" s="333" t="s">
        <v>475</v>
      </c>
      <c r="B81" s="129" t="s">
        <v>1182</v>
      </c>
      <c r="C81" s="335" t="s">
        <v>1185</v>
      </c>
      <c r="D81" s="190" t="s">
        <v>1176</v>
      </c>
      <c r="E81" s="262" t="s">
        <v>1186</v>
      </c>
      <c r="F81" s="129" t="s">
        <v>1194</v>
      </c>
      <c r="G81" s="190" t="s">
        <v>468</v>
      </c>
      <c r="H81" s="129" t="s">
        <v>1187</v>
      </c>
    </row>
    <row r="82" spans="1:8">
      <c r="A82" s="148">
        <v>1999</v>
      </c>
      <c r="B82" s="322">
        <v>875573</v>
      </c>
      <c r="C82" s="17">
        <v>559</v>
      </c>
      <c r="D82" s="323">
        <v>44632.529474812429</v>
      </c>
      <c r="E82" s="305">
        <f>B82-C82-D82</f>
        <v>830381.47052518756</v>
      </c>
      <c r="F82" s="284"/>
      <c r="G82" s="155">
        <v>9.2299999999999993E-2</v>
      </c>
      <c r="H82" s="285"/>
    </row>
    <row r="83" spans="1:8">
      <c r="A83" s="330">
        <v>2000</v>
      </c>
      <c r="B83" s="321">
        <v>981169</v>
      </c>
      <c r="C83" s="28">
        <v>3984</v>
      </c>
      <c r="D83" s="324">
        <v>51419.62486602358</v>
      </c>
      <c r="E83" s="306">
        <f t="shared" ref="E83:E92" si="32">B83-C83-D83</f>
        <v>925765.37513397646</v>
      </c>
      <c r="F83" s="296">
        <f>E83/E82-1</f>
        <v>0.11486757351228216</v>
      </c>
      <c r="G83" s="156">
        <v>8.7499999999999994E-2</v>
      </c>
      <c r="H83" s="325">
        <f>(F83+1)/(G83+1)-1</f>
        <v>2.5165584838880317E-2</v>
      </c>
    </row>
    <row r="84" spans="1:8">
      <c r="A84" s="331">
        <v>2001</v>
      </c>
      <c r="B84" s="326">
        <v>1026036</v>
      </c>
      <c r="C84" s="18"/>
      <c r="D84" s="324">
        <v>58819.034297963561</v>
      </c>
      <c r="E84" s="306">
        <f t="shared" si="32"/>
        <v>967216.9657020364</v>
      </c>
      <c r="F84" s="296">
        <f t="shared" ref="F84:F92" si="33">E84/E83-1</f>
        <v>4.4775481651667004E-2</v>
      </c>
      <c r="G84" s="156">
        <v>7.6499999999999999E-2</v>
      </c>
      <c r="H84" s="325">
        <f t="shared" ref="H84:H92" si="34">(F84+1)/(G84+1)-1</f>
        <v>-2.9470058846570391E-2</v>
      </c>
    </row>
    <row r="85" spans="1:8">
      <c r="A85" s="330">
        <v>2002</v>
      </c>
      <c r="B85" s="326">
        <v>1034490</v>
      </c>
      <c r="C85" s="18"/>
      <c r="D85" s="324">
        <v>65768.429796355835</v>
      </c>
      <c r="E85" s="306">
        <f t="shared" si="32"/>
        <v>968721.57020364422</v>
      </c>
      <c r="F85" s="296">
        <f t="shared" si="33"/>
        <v>1.5556018504243596E-3</v>
      </c>
      <c r="G85" s="156">
        <v>6.9900000000000004E-2</v>
      </c>
      <c r="H85" s="325">
        <f t="shared" si="34"/>
        <v>-6.3879239321035342E-2</v>
      </c>
    </row>
    <row r="86" spans="1:8">
      <c r="A86" s="331">
        <v>2003</v>
      </c>
      <c r="B86" s="326">
        <v>1038431</v>
      </c>
      <c r="C86" s="40"/>
      <c r="D86" s="324">
        <v>73765.398713826376</v>
      </c>
      <c r="E86" s="306">
        <f t="shared" si="32"/>
        <v>964665.60128617357</v>
      </c>
      <c r="F86" s="296">
        <f t="shared" si="33"/>
        <v>-4.186929497830838E-3</v>
      </c>
      <c r="G86" s="156">
        <v>6.4899999999999999E-2</v>
      </c>
      <c r="H86" s="325">
        <f t="shared" si="34"/>
        <v>-6.4876448021251587E-2</v>
      </c>
    </row>
    <row r="87" spans="1:8">
      <c r="A87" s="330">
        <v>2004</v>
      </c>
      <c r="B87" s="326">
        <v>1001412</v>
      </c>
      <c r="C87" s="18">
        <v>967</v>
      </c>
      <c r="D87" s="324">
        <v>82706.659163987148</v>
      </c>
      <c r="E87" s="306">
        <f t="shared" si="32"/>
        <v>917738.34083601285</v>
      </c>
      <c r="F87" s="296">
        <f t="shared" si="33"/>
        <v>-4.8646142650461854E-2</v>
      </c>
      <c r="G87" s="157">
        <v>5.4975226515432629E-2</v>
      </c>
      <c r="H87" s="325">
        <f t="shared" si="34"/>
        <v>-9.822161370381588E-2</v>
      </c>
    </row>
    <row r="88" spans="1:8">
      <c r="A88" s="331">
        <v>2005</v>
      </c>
      <c r="B88" s="326">
        <v>1110962</v>
      </c>
      <c r="C88" s="28">
        <v>5797</v>
      </c>
      <c r="D88" s="324">
        <v>91197.905680600234</v>
      </c>
      <c r="E88" s="306">
        <f t="shared" si="32"/>
        <v>1013967.0943193998</v>
      </c>
      <c r="F88" s="296">
        <f t="shared" si="33"/>
        <v>0.10485423698842911</v>
      </c>
      <c r="G88" s="157">
        <v>4.8525780949691733E-2</v>
      </c>
      <c r="H88" s="325">
        <f t="shared" si="34"/>
        <v>5.3721574673841976E-2</v>
      </c>
    </row>
    <row r="89" spans="1:8">
      <c r="A89" s="330">
        <v>2006</v>
      </c>
      <c r="B89" s="326">
        <v>1287975</v>
      </c>
      <c r="C89" s="28">
        <v>5800</v>
      </c>
      <c r="D89" s="324">
        <v>101017.06216505895</v>
      </c>
      <c r="E89" s="306">
        <f t="shared" si="32"/>
        <v>1181157.9378349411</v>
      </c>
      <c r="F89" s="296">
        <f t="shared" si="33"/>
        <v>0.16488783950899699</v>
      </c>
      <c r="G89" s="65">
        <v>4.48E-2</v>
      </c>
      <c r="H89" s="325">
        <f t="shared" si="34"/>
        <v>0.11493859064796808</v>
      </c>
    </row>
    <row r="90" spans="1:8">
      <c r="A90" s="331">
        <v>2007</v>
      </c>
      <c r="B90" s="326">
        <v>1479638</v>
      </c>
      <c r="C90" s="28">
        <v>4878</v>
      </c>
      <c r="D90" s="324">
        <v>110799.33226152197</v>
      </c>
      <c r="E90" s="306">
        <f t="shared" si="32"/>
        <v>1363960.6677384779</v>
      </c>
      <c r="F90" s="296">
        <f t="shared" si="33"/>
        <v>0.15476569563475451</v>
      </c>
      <c r="G90" s="65">
        <v>5.6899999999999999E-2</v>
      </c>
      <c r="H90" s="325">
        <f t="shared" si="34"/>
        <v>9.2596930300647751E-2</v>
      </c>
    </row>
    <row r="91" spans="1:8">
      <c r="A91" s="330">
        <v>2008</v>
      </c>
      <c r="B91" s="326">
        <v>1596265</v>
      </c>
      <c r="C91" s="28">
        <v>4183</v>
      </c>
      <c r="D91" s="324">
        <v>122440.67631296894</v>
      </c>
      <c r="E91" s="306">
        <f t="shared" si="32"/>
        <v>1469641.3236870312</v>
      </c>
      <c r="F91" s="296">
        <f t="shared" si="33"/>
        <v>7.7480720997459285E-2</v>
      </c>
      <c r="G91" s="65">
        <v>7.6700000000000004E-2</v>
      </c>
      <c r="H91" s="325">
        <f t="shared" si="34"/>
        <v>7.2510541233339332E-4</v>
      </c>
    </row>
    <row r="92" spans="1:8" ht="15.75" thickBot="1">
      <c r="A92" s="332">
        <v>2009</v>
      </c>
      <c r="B92" s="327">
        <v>1620765</v>
      </c>
      <c r="C92" s="334">
        <v>5300</v>
      </c>
      <c r="D92" s="328">
        <v>131259.48556767183</v>
      </c>
      <c r="E92" s="307">
        <f t="shared" si="32"/>
        <v>1484205.5144323283</v>
      </c>
      <c r="F92" s="298">
        <f t="shared" si="33"/>
        <v>9.910030774555656E-3</v>
      </c>
      <c r="G92" s="158">
        <v>0.02</v>
      </c>
      <c r="H92" s="329">
        <f t="shared" si="34"/>
        <v>-9.892126691612102E-3</v>
      </c>
    </row>
    <row r="93" spans="1:8" ht="15.75" thickBot="1">
      <c r="A93" s="282" t="s">
        <v>464</v>
      </c>
      <c r="B93" s="104"/>
      <c r="C93" s="286"/>
      <c r="D93" s="286"/>
      <c r="E93" s="286"/>
      <c r="F93" s="286"/>
      <c r="G93" s="286"/>
      <c r="H93" s="304">
        <f>AVERAGE(H87:H92)</f>
        <v>2.5644743439893869E-2</v>
      </c>
    </row>
  </sheetData>
  <mergeCells count="1">
    <mergeCell ref="F50:F6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Y590"/>
  <sheetViews>
    <sheetView topLeftCell="K1" zoomScale="84" zoomScaleNormal="84" workbookViewId="0">
      <selection sqref="A1:D1"/>
    </sheetView>
  </sheetViews>
  <sheetFormatPr defaultColWidth="11.42578125" defaultRowHeight="15"/>
  <cols>
    <col min="16" max="16" width="19.5703125" customWidth="1"/>
    <col min="19" max="19" width="21.140625" bestFit="1" customWidth="1"/>
    <col min="20" max="20" width="19.85546875" bestFit="1" customWidth="1"/>
    <col min="21" max="21" width="12.42578125" bestFit="1" customWidth="1"/>
  </cols>
  <sheetData>
    <row r="1" spans="1:21" ht="15.75" thickBot="1">
      <c r="A1" s="659" t="s">
        <v>486</v>
      </c>
      <c r="B1" s="660"/>
      <c r="C1" s="660"/>
      <c r="D1" s="661"/>
      <c r="F1" s="215" t="s">
        <v>507</v>
      </c>
      <c r="G1" s="216"/>
      <c r="H1" s="216"/>
      <c r="I1" s="216"/>
      <c r="J1" s="216"/>
      <c r="K1" s="216"/>
      <c r="L1" s="217"/>
      <c r="N1" s="646" t="s">
        <v>562</v>
      </c>
      <c r="O1" s="647"/>
      <c r="P1" s="648"/>
      <c r="R1" s="637" t="s">
        <v>1142</v>
      </c>
      <c r="S1" s="638"/>
      <c r="T1" s="638"/>
      <c r="U1" s="639"/>
    </row>
    <row r="2" spans="1:21" ht="25.5" customHeight="1" thickBot="1">
      <c r="A2" s="213" t="s">
        <v>487</v>
      </c>
      <c r="B2" s="213" t="s">
        <v>487</v>
      </c>
      <c r="C2" s="213" t="s">
        <v>488</v>
      </c>
      <c r="D2" s="213" t="s">
        <v>489</v>
      </c>
      <c r="F2" s="218" t="s">
        <v>508</v>
      </c>
      <c r="G2" s="219"/>
      <c r="H2" s="219"/>
      <c r="I2" s="219"/>
      <c r="J2" s="219"/>
      <c r="K2" s="219"/>
      <c r="L2" s="220"/>
      <c r="N2" s="649" t="s">
        <v>563</v>
      </c>
      <c r="O2" s="650"/>
      <c r="P2" s="651"/>
      <c r="R2" s="262" t="s">
        <v>463</v>
      </c>
      <c r="S2" s="129" t="s">
        <v>1144</v>
      </c>
      <c r="T2" s="129" t="s">
        <v>1143</v>
      </c>
      <c r="U2" s="129" t="s">
        <v>1145</v>
      </c>
    </row>
    <row r="3" spans="1:21" ht="16.5" thickBot="1">
      <c r="A3" s="205" t="s">
        <v>490</v>
      </c>
      <c r="B3" s="206" t="s">
        <v>491</v>
      </c>
      <c r="C3" s="207"/>
      <c r="D3" s="206" t="s">
        <v>492</v>
      </c>
      <c r="F3" s="218" t="s">
        <v>509</v>
      </c>
      <c r="G3" s="219"/>
      <c r="H3" s="219"/>
      <c r="I3" s="219"/>
      <c r="J3" s="219"/>
      <c r="K3" s="219"/>
      <c r="L3" s="220"/>
      <c r="N3" s="652" t="s">
        <v>564</v>
      </c>
      <c r="O3" s="654" t="s">
        <v>565</v>
      </c>
      <c r="P3" s="655"/>
      <c r="R3" s="186">
        <v>1999</v>
      </c>
      <c r="S3" s="201">
        <f>O57/100</f>
        <v>0.27577597135266929</v>
      </c>
      <c r="T3" s="263">
        <f>L59/100</f>
        <v>0.19596111111111114</v>
      </c>
      <c r="U3" s="266">
        <f>D38/100</f>
        <v>0.20927352941176469</v>
      </c>
    </row>
    <row r="4" spans="1:21" ht="16.5" thickBot="1">
      <c r="A4" s="208">
        <v>36231</v>
      </c>
      <c r="B4" s="208">
        <v>36220</v>
      </c>
      <c r="C4" s="208" t="s">
        <v>493</v>
      </c>
      <c r="D4" s="209">
        <v>24.4</v>
      </c>
      <c r="F4" s="218" t="s">
        <v>510</v>
      </c>
      <c r="G4" s="219"/>
      <c r="H4" s="219"/>
      <c r="I4" s="219"/>
      <c r="J4" s="219"/>
      <c r="K4" s="219"/>
      <c r="L4" s="220"/>
      <c r="N4" s="653"/>
      <c r="O4" s="244" t="s">
        <v>566</v>
      </c>
      <c r="P4" s="244" t="s">
        <v>567</v>
      </c>
      <c r="R4" s="33">
        <v>2000</v>
      </c>
      <c r="S4" s="202">
        <f>O110/100</f>
        <v>0.16652093137823359</v>
      </c>
      <c r="T4" s="264">
        <f>L112/100</f>
        <v>0.13644423076923076</v>
      </c>
      <c r="U4" s="267">
        <f>D92/100</f>
        <v>0.17595849056603771</v>
      </c>
    </row>
    <row r="5" spans="1:21" ht="15.75" thickBot="1">
      <c r="A5" s="208">
        <v>36231</v>
      </c>
      <c r="B5" s="208">
        <v>36220</v>
      </c>
      <c r="C5" s="208" t="s">
        <v>494</v>
      </c>
      <c r="D5" s="209">
        <v>24.4</v>
      </c>
      <c r="F5" s="269" t="s">
        <v>511</v>
      </c>
      <c r="G5" s="270"/>
      <c r="H5" s="270"/>
      <c r="I5" s="270"/>
      <c r="J5" s="274"/>
      <c r="K5" s="221" t="s">
        <v>512</v>
      </c>
      <c r="L5" s="222" t="s">
        <v>513</v>
      </c>
      <c r="N5" s="245" t="s">
        <v>568</v>
      </c>
      <c r="O5" s="246">
        <v>41.786384145654651</v>
      </c>
      <c r="P5" s="247">
        <v>455910.6263</v>
      </c>
      <c r="R5" s="33">
        <v>2001</v>
      </c>
      <c r="S5" s="202">
        <f>O163/100</f>
        <v>0.18203435180169411</v>
      </c>
      <c r="T5" s="264">
        <f>L165/100</f>
        <v>0.13656923076923078</v>
      </c>
      <c r="U5" s="267">
        <f>D107/100</f>
        <v>0.14617142857142856</v>
      </c>
    </row>
    <row r="6" spans="1:21" ht="15.75" thickBot="1">
      <c r="A6" s="208">
        <v>36245</v>
      </c>
      <c r="B6" s="208">
        <v>36220</v>
      </c>
      <c r="C6" s="208" t="s">
        <v>494</v>
      </c>
      <c r="D6" s="209">
        <v>24</v>
      </c>
      <c r="F6" s="271" t="s">
        <v>514</v>
      </c>
      <c r="G6" s="272" t="s">
        <v>515</v>
      </c>
      <c r="H6" s="664" t="s">
        <v>516</v>
      </c>
      <c r="I6" s="665"/>
      <c r="J6" s="666"/>
      <c r="K6" s="273"/>
      <c r="L6" s="223"/>
      <c r="N6" s="248" t="s">
        <v>569</v>
      </c>
      <c r="O6" s="249">
        <v>40.886093356246292</v>
      </c>
      <c r="P6" s="250">
        <v>486466.59046000009</v>
      </c>
      <c r="R6" s="33">
        <v>2002</v>
      </c>
      <c r="S6" s="202">
        <f>O216/100</f>
        <v>0.14158430810293252</v>
      </c>
      <c r="T6" s="264">
        <f>L218/100</f>
        <v>9.7615384615384618E-2</v>
      </c>
      <c r="U6" s="267">
        <f>D133/100</f>
        <v>0.13599999999999995</v>
      </c>
    </row>
    <row r="7" spans="1:21">
      <c r="A7" s="208">
        <v>36266</v>
      </c>
      <c r="B7" s="208">
        <v>36220</v>
      </c>
      <c r="C7" s="208" t="s">
        <v>494</v>
      </c>
      <c r="D7" s="209">
        <v>20.5</v>
      </c>
      <c r="F7" s="224">
        <v>1999</v>
      </c>
      <c r="G7" s="225" t="s">
        <v>517</v>
      </c>
      <c r="H7" s="226" t="s">
        <v>518</v>
      </c>
      <c r="I7" s="227" t="s">
        <v>519</v>
      </c>
      <c r="J7" s="228" t="s">
        <v>520</v>
      </c>
      <c r="K7" s="229">
        <v>32.799999999999997</v>
      </c>
      <c r="L7" s="230">
        <v>34.200000000000003</v>
      </c>
      <c r="N7" s="248" t="s">
        <v>570</v>
      </c>
      <c r="O7" s="249">
        <v>38.974329471442765</v>
      </c>
      <c r="P7" s="250">
        <v>543848.02515000012</v>
      </c>
      <c r="R7" s="33">
        <v>2003</v>
      </c>
      <c r="S7" s="202">
        <f>O270/100</f>
        <v>0.12812347065435464</v>
      </c>
      <c r="T7" s="264">
        <f>L271/100</f>
        <v>8.5350000000000023E-2</v>
      </c>
      <c r="U7" s="267">
        <f>D161/100</f>
        <v>0.14522222222222228</v>
      </c>
    </row>
    <row r="8" spans="1:21">
      <c r="A8" s="208">
        <v>36266</v>
      </c>
      <c r="B8" s="208">
        <v>36220</v>
      </c>
      <c r="C8" s="208" t="s">
        <v>493</v>
      </c>
      <c r="D8" s="209">
        <v>20.5</v>
      </c>
      <c r="F8" s="224"/>
      <c r="G8" s="225"/>
      <c r="H8" s="226" t="s">
        <v>521</v>
      </c>
      <c r="I8" s="227" t="s">
        <v>519</v>
      </c>
      <c r="J8" s="228" t="s">
        <v>522</v>
      </c>
      <c r="K8" s="229">
        <v>33.54</v>
      </c>
      <c r="L8" s="230">
        <v>33.369999999999997</v>
      </c>
      <c r="N8" s="248" t="s">
        <v>571</v>
      </c>
      <c r="O8" s="249">
        <v>36.963222395343095</v>
      </c>
      <c r="P8" s="250">
        <v>681547.48991999961</v>
      </c>
      <c r="R8" s="33">
        <v>2004</v>
      </c>
      <c r="S8" s="202">
        <f>O323/100</f>
        <v>0.130630031180617</v>
      </c>
      <c r="T8" s="264">
        <f>L324/100</f>
        <v>8.4153846153846135E-2</v>
      </c>
      <c r="U8" s="267">
        <f>D192/100</f>
        <v>0.11696333333333335</v>
      </c>
    </row>
    <row r="9" spans="1:21">
      <c r="A9" s="208">
        <v>36280</v>
      </c>
      <c r="B9" s="208">
        <v>36220</v>
      </c>
      <c r="C9" s="208" t="s">
        <v>494</v>
      </c>
      <c r="D9" s="209">
        <v>19</v>
      </c>
      <c r="F9" s="224"/>
      <c r="G9" s="225"/>
      <c r="H9" s="226">
        <v>18</v>
      </c>
      <c r="I9" s="227" t="s">
        <v>519</v>
      </c>
      <c r="J9" s="228" t="s">
        <v>523</v>
      </c>
      <c r="K9" s="229">
        <v>32.729999999999997</v>
      </c>
      <c r="L9" s="230">
        <v>32.159999999999997</v>
      </c>
      <c r="N9" s="248" t="s">
        <v>572</v>
      </c>
      <c r="O9" s="249">
        <v>36.334232923968571</v>
      </c>
      <c r="P9" s="250">
        <v>620895.06065000012</v>
      </c>
      <c r="R9" s="33">
        <v>2005</v>
      </c>
      <c r="S9" s="202">
        <f>O376/100</f>
        <v>0.12584274827456424</v>
      </c>
      <c r="T9" s="264">
        <f>L377/100</f>
        <v>7.7286538461538476E-2</v>
      </c>
      <c r="U9" s="267">
        <f>D243/100</f>
        <v>9.1400000000000009E-2</v>
      </c>
    </row>
    <row r="10" spans="1:21">
      <c r="A10" s="208">
        <v>36280</v>
      </c>
      <c r="B10" s="208">
        <v>36220</v>
      </c>
      <c r="C10" s="208" t="s">
        <v>493</v>
      </c>
      <c r="D10" s="209">
        <v>19</v>
      </c>
      <c r="F10" s="224"/>
      <c r="G10" s="225"/>
      <c r="H10" s="226" t="s">
        <v>524</v>
      </c>
      <c r="I10" s="227" t="s">
        <v>519</v>
      </c>
      <c r="J10" s="228" t="s">
        <v>525</v>
      </c>
      <c r="K10" s="229">
        <v>32.67</v>
      </c>
      <c r="L10" s="230">
        <v>31.98</v>
      </c>
      <c r="N10" s="248" t="s">
        <v>573</v>
      </c>
      <c r="O10" s="249">
        <v>35.502377913312024</v>
      </c>
      <c r="P10" s="250">
        <v>629289.72508</v>
      </c>
      <c r="R10" s="33">
        <v>2006</v>
      </c>
      <c r="S10" s="202">
        <f>O429/100</f>
        <v>0.11521676056989434</v>
      </c>
      <c r="T10" s="264">
        <f>L431/100</f>
        <v>6.7696226415094346E-2</v>
      </c>
      <c r="U10" s="267">
        <f>D278/100</f>
        <v>7.0919411764705897E-2</v>
      </c>
    </row>
    <row r="11" spans="1:21">
      <c r="A11" s="208">
        <v>36294</v>
      </c>
      <c r="B11" s="208">
        <v>36283</v>
      </c>
      <c r="C11" s="208" t="s">
        <v>494</v>
      </c>
      <c r="D11" s="209">
        <v>17.350000000000001</v>
      </c>
      <c r="F11" s="224"/>
      <c r="G11" s="225" t="s">
        <v>526</v>
      </c>
      <c r="H11" s="226" t="s">
        <v>527</v>
      </c>
      <c r="I11" s="227" t="s">
        <v>519</v>
      </c>
      <c r="J11" s="228" t="s">
        <v>528</v>
      </c>
      <c r="K11" s="229">
        <v>33.04</v>
      </c>
      <c r="L11" s="230">
        <v>32.200000000000003</v>
      </c>
      <c r="N11" s="248" t="s">
        <v>574</v>
      </c>
      <c r="O11" s="249">
        <v>34.753907809517166</v>
      </c>
      <c r="P11" s="250">
        <v>557682.54243999987</v>
      </c>
      <c r="R11" s="33">
        <v>2007</v>
      </c>
      <c r="S11" s="202">
        <f>O482/100</f>
        <v>0.14305276264171896</v>
      </c>
      <c r="T11" s="264">
        <f>L484/100</f>
        <v>8.12846153846154E-2</v>
      </c>
      <c r="U11" s="267">
        <f>D311/100</f>
        <v>7.9944062499999996E-2</v>
      </c>
    </row>
    <row r="12" spans="1:21">
      <c r="A12" s="208">
        <v>36294</v>
      </c>
      <c r="B12" s="208">
        <v>36283</v>
      </c>
      <c r="C12" s="208" t="s">
        <v>493</v>
      </c>
      <c r="D12" s="209">
        <v>17.350000000000001</v>
      </c>
      <c r="F12" s="224"/>
      <c r="G12" s="225"/>
      <c r="H12" s="226" t="s">
        <v>529</v>
      </c>
      <c r="I12" s="227" t="s">
        <v>519</v>
      </c>
      <c r="J12" s="228" t="s">
        <v>530</v>
      </c>
      <c r="K12" s="229">
        <v>32.08</v>
      </c>
      <c r="L12" s="230">
        <v>31.81</v>
      </c>
      <c r="N12" s="248" t="s">
        <v>575</v>
      </c>
      <c r="O12" s="249">
        <v>34.556444769435075</v>
      </c>
      <c r="P12" s="250">
        <v>749206.72241999989</v>
      </c>
      <c r="R12" s="33">
        <v>2008</v>
      </c>
      <c r="S12" s="202">
        <f>O536/100</f>
        <v>0.16362932953103587</v>
      </c>
      <c r="T12" s="264">
        <f>L537/100</f>
        <v>9.747115384615386E-2</v>
      </c>
      <c r="U12" s="267">
        <f>D324/100</f>
        <v>9.296833333333332E-2</v>
      </c>
    </row>
    <row r="13" spans="1:21" ht="15.75" thickBot="1">
      <c r="A13" s="208">
        <v>36308</v>
      </c>
      <c r="B13" s="208">
        <v>36283</v>
      </c>
      <c r="C13" s="208" t="s">
        <v>494</v>
      </c>
      <c r="D13" s="209">
        <v>23</v>
      </c>
      <c r="F13" s="224"/>
      <c r="G13" s="225"/>
      <c r="H13" s="226" t="s">
        <v>531</v>
      </c>
      <c r="I13" s="227" t="s">
        <v>519</v>
      </c>
      <c r="J13" s="228" t="s">
        <v>532</v>
      </c>
      <c r="K13" s="229">
        <v>31.6</v>
      </c>
      <c r="L13" s="230">
        <v>30.72</v>
      </c>
      <c r="N13" s="248" t="s">
        <v>576</v>
      </c>
      <c r="O13" s="249">
        <v>33.442820027121378</v>
      </c>
      <c r="P13" s="250">
        <v>659801.89541</v>
      </c>
      <c r="R13" s="175">
        <v>2009</v>
      </c>
      <c r="S13" s="203">
        <f>O589/100</f>
        <v>0.12401885052936203</v>
      </c>
      <c r="T13" s="265">
        <f>L590/100</f>
        <v>7.0017307692307684E-2</v>
      </c>
      <c r="U13" s="268">
        <f>D351/100</f>
        <v>7.9740384615384616E-2</v>
      </c>
    </row>
    <row r="14" spans="1:21">
      <c r="A14" s="208">
        <v>36322</v>
      </c>
      <c r="B14" s="208">
        <v>36283</v>
      </c>
      <c r="C14" s="208" t="s">
        <v>494</v>
      </c>
      <c r="D14" s="209">
        <v>22</v>
      </c>
      <c r="F14" s="224"/>
      <c r="G14" s="225"/>
      <c r="H14" s="226" t="s">
        <v>533</v>
      </c>
      <c r="I14" s="227" t="s">
        <v>519</v>
      </c>
      <c r="J14" s="228" t="s">
        <v>534</v>
      </c>
      <c r="K14" s="229">
        <v>31.16</v>
      </c>
      <c r="L14" s="230">
        <v>30</v>
      </c>
      <c r="N14" s="248" t="s">
        <v>577</v>
      </c>
      <c r="O14" s="249">
        <v>33.689424373762307</v>
      </c>
      <c r="P14" s="250">
        <v>568170.65045999992</v>
      </c>
    </row>
    <row r="15" spans="1:21">
      <c r="A15" s="208">
        <v>36322</v>
      </c>
      <c r="B15" s="208">
        <v>36283</v>
      </c>
      <c r="C15" s="208" t="s">
        <v>493</v>
      </c>
      <c r="D15" s="209">
        <v>22</v>
      </c>
      <c r="F15" s="224"/>
      <c r="G15" s="225" t="s">
        <v>535</v>
      </c>
      <c r="H15" s="226" t="s">
        <v>527</v>
      </c>
      <c r="I15" s="227" t="s">
        <v>519</v>
      </c>
      <c r="J15" s="228" t="s">
        <v>528</v>
      </c>
      <c r="K15" s="229">
        <v>29.98</v>
      </c>
      <c r="L15" s="230">
        <v>29.68</v>
      </c>
      <c r="N15" s="248" t="s">
        <v>578</v>
      </c>
      <c r="O15" s="249">
        <v>33.550682039049242</v>
      </c>
      <c r="P15" s="250">
        <v>626699.42632000032</v>
      </c>
    </row>
    <row r="16" spans="1:21" ht="15.75" thickBot="1">
      <c r="A16" s="208">
        <v>36336</v>
      </c>
      <c r="B16" s="208">
        <v>36283</v>
      </c>
      <c r="C16" s="208" t="s">
        <v>494</v>
      </c>
      <c r="D16" s="209">
        <v>24</v>
      </c>
      <c r="F16" s="224"/>
      <c r="G16" s="225"/>
      <c r="H16" s="226" t="s">
        <v>529</v>
      </c>
      <c r="I16" s="227" t="s">
        <v>519</v>
      </c>
      <c r="J16" s="228" t="s">
        <v>530</v>
      </c>
      <c r="K16" s="229">
        <v>27.94</v>
      </c>
      <c r="L16" s="230">
        <v>29.18</v>
      </c>
      <c r="N16" s="248" t="s">
        <v>579</v>
      </c>
      <c r="O16" s="249">
        <v>32.069810897633729</v>
      </c>
      <c r="P16" s="250">
        <v>530229.30900000001</v>
      </c>
    </row>
    <row r="17" spans="1:25" ht="45.75" thickBot="1">
      <c r="A17" s="208">
        <v>36357</v>
      </c>
      <c r="B17" s="208">
        <v>36283</v>
      </c>
      <c r="C17" s="208" t="s">
        <v>494</v>
      </c>
      <c r="D17" s="209">
        <v>25</v>
      </c>
      <c r="F17" s="224"/>
      <c r="G17" s="225"/>
      <c r="H17" s="226" t="s">
        <v>531</v>
      </c>
      <c r="I17" s="227" t="s">
        <v>519</v>
      </c>
      <c r="J17" s="228" t="s">
        <v>532</v>
      </c>
      <c r="K17" s="229">
        <v>26.98</v>
      </c>
      <c r="L17" s="230">
        <v>27.21</v>
      </c>
      <c r="N17" s="248" t="s">
        <v>580</v>
      </c>
      <c r="O17" s="249">
        <v>33.247447509255302</v>
      </c>
      <c r="P17" s="250">
        <v>441298.95135999995</v>
      </c>
      <c r="R17" s="129" t="s">
        <v>463</v>
      </c>
      <c r="S17" s="129" t="s">
        <v>1148</v>
      </c>
      <c r="T17" s="275" t="s">
        <v>1149</v>
      </c>
      <c r="U17" s="130" t="s">
        <v>1150</v>
      </c>
      <c r="V17" s="130" t="s">
        <v>1151</v>
      </c>
      <c r="W17" s="276" t="s">
        <v>1152</v>
      </c>
      <c r="X17" s="146" t="s">
        <v>1143</v>
      </c>
      <c r="Y17" s="130" t="s">
        <v>1153</v>
      </c>
    </row>
    <row r="18" spans="1:25">
      <c r="A18" s="208">
        <v>36357</v>
      </c>
      <c r="B18" s="208">
        <v>36283</v>
      </c>
      <c r="C18" s="208" t="s">
        <v>493</v>
      </c>
      <c r="D18" s="209">
        <v>25</v>
      </c>
      <c r="F18" s="224"/>
      <c r="G18" s="225"/>
      <c r="H18" s="226" t="s">
        <v>533</v>
      </c>
      <c r="I18" s="227" t="s">
        <v>519</v>
      </c>
      <c r="J18" s="228" t="s">
        <v>534</v>
      </c>
      <c r="K18" s="229">
        <v>25.79</v>
      </c>
      <c r="L18" s="230">
        <v>26.44</v>
      </c>
      <c r="N18" s="248" t="s">
        <v>581</v>
      </c>
      <c r="O18" s="249">
        <v>31.105505643942806</v>
      </c>
      <c r="P18" s="250">
        <v>555733.39778</v>
      </c>
      <c r="R18" s="149">
        <v>1999</v>
      </c>
      <c r="S18" s="277">
        <f>'TCC-TES'!S3</f>
        <v>0.27577597135266929</v>
      </c>
      <c r="T18" s="279">
        <f>U3</f>
        <v>0.20927352941176469</v>
      </c>
      <c r="U18" s="277">
        <f>S18-T18</f>
        <v>6.65024419409046E-2</v>
      </c>
      <c r="V18" s="156">
        <v>9.2299999999999993E-2</v>
      </c>
      <c r="W18" s="145">
        <f>(S18+1)/(1+V18)-1</f>
        <v>0.16797214259147597</v>
      </c>
      <c r="X18" s="263">
        <f>T3</f>
        <v>0.19596111111111114</v>
      </c>
      <c r="Y18" s="159">
        <f>X18-T18</f>
        <v>-1.331241830065355E-2</v>
      </c>
    </row>
    <row r="19" spans="1:25">
      <c r="A19" s="208">
        <v>36371</v>
      </c>
      <c r="B19" s="208">
        <v>36283</v>
      </c>
      <c r="C19" s="208" t="s">
        <v>494</v>
      </c>
      <c r="D19" s="209">
        <v>23.5</v>
      </c>
      <c r="F19" s="224"/>
      <c r="G19" s="225"/>
      <c r="H19" s="226" t="s">
        <v>536</v>
      </c>
      <c r="I19" s="227" t="s">
        <v>519</v>
      </c>
      <c r="J19" s="228" t="s">
        <v>518</v>
      </c>
      <c r="K19" s="229">
        <v>25.54</v>
      </c>
      <c r="L19" s="230">
        <v>25.56</v>
      </c>
      <c r="N19" s="248" t="s">
        <v>582</v>
      </c>
      <c r="O19" s="249">
        <v>30.41980063898859</v>
      </c>
      <c r="P19" s="250">
        <v>527183.8909</v>
      </c>
      <c r="R19" s="149">
        <v>2000</v>
      </c>
      <c r="S19" s="277">
        <f>'TCC-TES'!S4</f>
        <v>0.16652093137823359</v>
      </c>
      <c r="T19" s="279">
        <f>U4</f>
        <v>0.17595849056603771</v>
      </c>
      <c r="U19" s="277">
        <f t="shared" ref="U19:U28" si="0">S19-T19</f>
        <v>-9.4375591878041176E-3</v>
      </c>
      <c r="V19" s="156">
        <v>8.7499999999999994E-2</v>
      </c>
      <c r="W19" s="145">
        <f t="shared" ref="W19:W28" si="1">(S19+1)/(1+V19)-1</f>
        <v>7.2662925405272416E-2</v>
      </c>
      <c r="X19" s="264">
        <f>T4</f>
        <v>0.13644423076923076</v>
      </c>
      <c r="Y19" s="159">
        <f t="shared" ref="Y19:Y28" si="2">X19-T19</f>
        <v>-3.951425979680695E-2</v>
      </c>
    </row>
    <row r="20" spans="1:25">
      <c r="A20" s="208">
        <v>36371</v>
      </c>
      <c r="B20" s="208">
        <v>36283</v>
      </c>
      <c r="C20" s="208" t="s">
        <v>493</v>
      </c>
      <c r="D20" s="209">
        <v>23.5</v>
      </c>
      <c r="F20" s="224"/>
      <c r="G20" s="225" t="s">
        <v>537</v>
      </c>
      <c r="H20" s="231" t="s">
        <v>538</v>
      </c>
      <c r="I20" s="227" t="s">
        <v>519</v>
      </c>
      <c r="J20" s="232" t="s">
        <v>521</v>
      </c>
      <c r="K20" s="229">
        <v>25.55</v>
      </c>
      <c r="L20" s="230">
        <v>25.57</v>
      </c>
      <c r="N20" s="248" t="s">
        <v>583</v>
      </c>
      <c r="O20" s="249">
        <v>29.857707249483141</v>
      </c>
      <c r="P20" s="250">
        <v>560809.06462999992</v>
      </c>
      <c r="R20" s="149">
        <v>2001</v>
      </c>
      <c r="S20" s="277">
        <f>'TCC-TES'!S5</f>
        <v>0.18203435180169411</v>
      </c>
      <c r="T20" s="279">
        <f>U5</f>
        <v>0.14617142857142856</v>
      </c>
      <c r="U20" s="277">
        <f t="shared" si="0"/>
        <v>3.5862923230265548E-2</v>
      </c>
      <c r="V20" s="156">
        <v>7.6499999999999999E-2</v>
      </c>
      <c r="W20" s="145">
        <f t="shared" si="1"/>
        <v>9.8034697446998553E-2</v>
      </c>
      <c r="X20" s="264">
        <f>T5</f>
        <v>0.13656923076923078</v>
      </c>
      <c r="Y20" s="159">
        <f t="shared" si="2"/>
        <v>-9.6021978021977872E-3</v>
      </c>
    </row>
    <row r="21" spans="1:25">
      <c r="A21" s="208">
        <v>36385</v>
      </c>
      <c r="B21" s="208">
        <v>36381</v>
      </c>
      <c r="C21" s="208" t="s">
        <v>494</v>
      </c>
      <c r="D21" s="209">
        <v>21.3</v>
      </c>
      <c r="F21" s="224"/>
      <c r="G21" s="225"/>
      <c r="H21" s="231" t="s">
        <v>539</v>
      </c>
      <c r="I21" s="233" t="s">
        <v>519</v>
      </c>
      <c r="J21" s="232" t="s">
        <v>540</v>
      </c>
      <c r="K21" s="229">
        <v>24.82</v>
      </c>
      <c r="L21" s="230">
        <v>24.55</v>
      </c>
      <c r="N21" s="248" t="s">
        <v>584</v>
      </c>
      <c r="O21" s="249">
        <v>30.070061889203306</v>
      </c>
      <c r="P21" s="250">
        <v>557156.31575000018</v>
      </c>
      <c r="R21" s="149">
        <v>2002</v>
      </c>
      <c r="S21" s="277">
        <f>'TCC-TES'!S6</f>
        <v>0.14158430810293252</v>
      </c>
      <c r="T21" s="279">
        <f t="shared" ref="T21:T28" si="3">U6</f>
        <v>0.13599999999999995</v>
      </c>
      <c r="U21" s="277">
        <f t="shared" si="0"/>
        <v>5.5843081029325614E-3</v>
      </c>
      <c r="V21" s="156">
        <v>6.9900000000000004E-2</v>
      </c>
      <c r="W21" s="145">
        <f t="shared" si="1"/>
        <v>6.7000942240333039E-2</v>
      </c>
      <c r="X21" s="264">
        <f t="shared" ref="X21:X28" si="4">T6</f>
        <v>9.7615384615384618E-2</v>
      </c>
      <c r="Y21" s="159">
        <f t="shared" si="2"/>
        <v>-3.8384615384615337E-2</v>
      </c>
    </row>
    <row r="22" spans="1:25">
      <c r="A22" s="208">
        <v>36385</v>
      </c>
      <c r="B22" s="208">
        <v>36381</v>
      </c>
      <c r="C22" s="208" t="s">
        <v>493</v>
      </c>
      <c r="D22" s="209">
        <v>21.3</v>
      </c>
      <c r="F22" s="224"/>
      <c r="G22" s="225"/>
      <c r="H22" s="226" t="s">
        <v>541</v>
      </c>
      <c r="I22" s="233" t="s">
        <v>519</v>
      </c>
      <c r="J22" s="228" t="s">
        <v>524</v>
      </c>
      <c r="K22" s="229">
        <v>24.36</v>
      </c>
      <c r="L22" s="230">
        <v>24.52</v>
      </c>
      <c r="N22" s="248" t="s">
        <v>585</v>
      </c>
      <c r="O22" s="249">
        <v>28.629453655634332</v>
      </c>
      <c r="P22" s="250">
        <v>487072.33025000012</v>
      </c>
      <c r="R22" s="149">
        <v>2003</v>
      </c>
      <c r="S22" s="277">
        <f>'TCC-TES'!S7</f>
        <v>0.12812347065435464</v>
      </c>
      <c r="T22" s="279">
        <f t="shared" si="3"/>
        <v>0.14522222222222228</v>
      </c>
      <c r="U22" s="277">
        <f t="shared" si="0"/>
        <v>-1.7098751567867637E-2</v>
      </c>
      <c r="V22" s="156">
        <v>6.4899999999999999E-2</v>
      </c>
      <c r="W22" s="145">
        <f t="shared" si="1"/>
        <v>5.9370335857221068E-2</v>
      </c>
      <c r="X22" s="264">
        <f t="shared" si="4"/>
        <v>8.5350000000000023E-2</v>
      </c>
      <c r="Y22" s="159">
        <f t="shared" si="2"/>
        <v>-5.9872222222222257E-2</v>
      </c>
    </row>
    <row r="23" spans="1:25">
      <c r="A23" s="208">
        <v>36399</v>
      </c>
      <c r="B23" s="208">
        <v>36381</v>
      </c>
      <c r="C23" s="208" t="s">
        <v>494</v>
      </c>
      <c r="D23" s="209">
        <v>21.5</v>
      </c>
      <c r="F23" s="224"/>
      <c r="G23" s="225"/>
      <c r="H23" s="226" t="s">
        <v>542</v>
      </c>
      <c r="I23" s="227" t="s">
        <v>519</v>
      </c>
      <c r="J23" s="228" t="s">
        <v>543</v>
      </c>
      <c r="K23" s="229">
        <v>23.16</v>
      </c>
      <c r="L23" s="230">
        <v>23.49</v>
      </c>
      <c r="N23" s="248" t="s">
        <v>586</v>
      </c>
      <c r="O23" s="249">
        <v>27.657868157047488</v>
      </c>
      <c r="P23" s="250">
        <v>498364.40035999974</v>
      </c>
      <c r="R23" s="149">
        <v>2004</v>
      </c>
      <c r="S23" s="277">
        <f>'TCC-TES'!S8</f>
        <v>0.130630031180617</v>
      </c>
      <c r="T23" s="279">
        <f t="shared" si="3"/>
        <v>0.11696333333333335</v>
      </c>
      <c r="U23" s="277">
        <f t="shared" si="0"/>
        <v>1.3666697847283651E-2</v>
      </c>
      <c r="V23" s="157">
        <v>5.4975226515432629E-2</v>
      </c>
      <c r="W23" s="145">
        <f t="shared" si="1"/>
        <v>7.171239927128048E-2</v>
      </c>
      <c r="X23" s="264">
        <f t="shared" si="4"/>
        <v>8.4153846153846135E-2</v>
      </c>
      <c r="Y23" s="159">
        <f t="shared" si="2"/>
        <v>-3.2809487179487215E-2</v>
      </c>
    </row>
    <row r="24" spans="1:25">
      <c r="A24" s="208">
        <v>36399</v>
      </c>
      <c r="B24" s="208">
        <v>36381</v>
      </c>
      <c r="C24" s="208" t="s">
        <v>493</v>
      </c>
      <c r="D24" s="209">
        <v>21.5</v>
      </c>
      <c r="F24" s="224"/>
      <c r="G24" s="225" t="s">
        <v>544</v>
      </c>
      <c r="H24" s="226" t="s">
        <v>545</v>
      </c>
      <c r="I24" s="227" t="s">
        <v>519</v>
      </c>
      <c r="J24" s="228" t="s">
        <v>546</v>
      </c>
      <c r="K24" s="229">
        <v>22.74</v>
      </c>
      <c r="L24" s="230">
        <v>22.34</v>
      </c>
      <c r="N24" s="248" t="s">
        <v>587</v>
      </c>
      <c r="O24" s="249">
        <v>25.838034702299581</v>
      </c>
      <c r="P24" s="250">
        <v>612685.94160000025</v>
      </c>
      <c r="R24" s="149">
        <v>2005</v>
      </c>
      <c r="S24" s="277">
        <f>'TCC-TES'!S9</f>
        <v>0.12584274827456424</v>
      </c>
      <c r="T24" s="279">
        <f t="shared" si="3"/>
        <v>9.1400000000000009E-2</v>
      </c>
      <c r="U24" s="277">
        <f t="shared" si="0"/>
        <v>3.4442748274564228E-2</v>
      </c>
      <c r="V24" s="157">
        <v>4.8525780949691733E-2</v>
      </c>
      <c r="W24" s="145">
        <f t="shared" si="1"/>
        <v>7.3738737501374052E-2</v>
      </c>
      <c r="X24" s="264">
        <f t="shared" si="4"/>
        <v>7.7286538461538476E-2</v>
      </c>
      <c r="Y24" s="159">
        <f t="shared" si="2"/>
        <v>-1.4113461538461533E-2</v>
      </c>
    </row>
    <row r="25" spans="1:25">
      <c r="A25" s="208">
        <v>36413</v>
      </c>
      <c r="B25" s="208">
        <v>36381</v>
      </c>
      <c r="C25" s="208" t="s">
        <v>494</v>
      </c>
      <c r="D25" s="209">
        <v>21.8</v>
      </c>
      <c r="F25" s="224"/>
      <c r="G25" s="225"/>
      <c r="H25" s="226" t="s">
        <v>520</v>
      </c>
      <c r="I25" s="227" t="s">
        <v>519</v>
      </c>
      <c r="J25" s="228" t="s">
        <v>547</v>
      </c>
      <c r="K25" s="229">
        <v>21.61</v>
      </c>
      <c r="L25" s="230">
        <v>20.07</v>
      </c>
      <c r="N25" s="248" t="s">
        <v>588</v>
      </c>
      <c r="O25" s="249">
        <v>26.254180775334081</v>
      </c>
      <c r="P25" s="250">
        <v>750893.76226999983</v>
      </c>
      <c r="R25" s="149">
        <v>2006</v>
      </c>
      <c r="S25" s="277">
        <f>'TCC-TES'!S10</f>
        <v>0.11521676056989434</v>
      </c>
      <c r="T25" s="279">
        <f t="shared" si="3"/>
        <v>7.0919411764705897E-2</v>
      </c>
      <c r="U25" s="277">
        <f t="shared" si="0"/>
        <v>4.4297348805188444E-2</v>
      </c>
      <c r="V25" s="65">
        <v>4.48E-2</v>
      </c>
      <c r="W25" s="145">
        <f t="shared" si="1"/>
        <v>6.739735889155285E-2</v>
      </c>
      <c r="X25" s="264">
        <f t="shared" si="4"/>
        <v>6.7696226415094346E-2</v>
      </c>
      <c r="Y25" s="159">
        <f t="shared" si="2"/>
        <v>-3.2231853496115515E-3</v>
      </c>
    </row>
    <row r="26" spans="1:25">
      <c r="A26" s="208">
        <v>36413</v>
      </c>
      <c r="B26" s="208">
        <v>36381</v>
      </c>
      <c r="C26" s="208" t="s">
        <v>493</v>
      </c>
      <c r="D26" s="209">
        <v>21.8</v>
      </c>
      <c r="F26" s="224"/>
      <c r="G26" s="225"/>
      <c r="H26" s="226" t="s">
        <v>522</v>
      </c>
      <c r="I26" s="227" t="s">
        <v>519</v>
      </c>
      <c r="J26" s="228">
        <v>23</v>
      </c>
      <c r="K26" s="229">
        <v>20.309999999999999</v>
      </c>
      <c r="L26" s="230">
        <v>20.92</v>
      </c>
      <c r="N26" s="248" t="s">
        <v>589</v>
      </c>
      <c r="O26" s="249">
        <v>25.959432505136522</v>
      </c>
      <c r="P26" s="250">
        <v>670871.19109999982</v>
      </c>
      <c r="R26" s="149">
        <v>2007</v>
      </c>
      <c r="S26" s="277">
        <f>'TCC-TES'!S11</f>
        <v>0.14305276264171896</v>
      </c>
      <c r="T26" s="279">
        <f t="shared" si="3"/>
        <v>7.9944062499999996E-2</v>
      </c>
      <c r="U26" s="277">
        <f t="shared" si="0"/>
        <v>6.310870014171896E-2</v>
      </c>
      <c r="V26" s="65">
        <v>5.6899999999999999E-2</v>
      </c>
      <c r="W26" s="145">
        <f t="shared" si="1"/>
        <v>8.1514582876070607E-2</v>
      </c>
      <c r="X26" s="264">
        <f t="shared" si="4"/>
        <v>8.12846153846154E-2</v>
      </c>
      <c r="Y26" s="159">
        <f t="shared" si="2"/>
        <v>1.3405528846154036E-3</v>
      </c>
    </row>
    <row r="27" spans="1:25">
      <c r="A27" s="208">
        <v>36427</v>
      </c>
      <c r="B27" s="208">
        <v>36381</v>
      </c>
      <c r="C27" s="208" t="s">
        <v>494</v>
      </c>
      <c r="D27" s="209">
        <v>22</v>
      </c>
      <c r="F27" s="224"/>
      <c r="G27" s="225"/>
      <c r="H27" s="226" t="s">
        <v>523</v>
      </c>
      <c r="I27" s="227" t="s">
        <v>519</v>
      </c>
      <c r="J27" s="228">
        <v>30</v>
      </c>
      <c r="K27" s="229">
        <v>19.7</v>
      </c>
      <c r="L27" s="230">
        <v>20.059999999999999</v>
      </c>
      <c r="N27" s="248" t="s">
        <v>590</v>
      </c>
      <c r="O27" s="249">
        <v>24.732628748831473</v>
      </c>
      <c r="P27" s="250">
        <v>534116.38003999996</v>
      </c>
      <c r="R27" s="149">
        <v>2008</v>
      </c>
      <c r="S27" s="277">
        <f>'TCC-TES'!S12</f>
        <v>0.16362932953103587</v>
      </c>
      <c r="T27" s="279">
        <f t="shared" si="3"/>
        <v>9.296833333333332E-2</v>
      </c>
      <c r="U27" s="277">
        <f t="shared" si="0"/>
        <v>7.0660996197702552E-2</v>
      </c>
      <c r="V27" s="65">
        <v>7.6700000000000004E-2</v>
      </c>
      <c r="W27" s="145">
        <f t="shared" si="1"/>
        <v>8.0736815762084024E-2</v>
      </c>
      <c r="X27" s="264">
        <f t="shared" si="4"/>
        <v>9.747115384615386E-2</v>
      </c>
      <c r="Y27" s="159">
        <f t="shared" si="2"/>
        <v>4.5028205128205406E-3</v>
      </c>
    </row>
    <row r="28" spans="1:25" ht="15.75" thickBot="1">
      <c r="A28" s="208">
        <v>36427</v>
      </c>
      <c r="B28" s="208">
        <v>36381</v>
      </c>
      <c r="C28" s="208" t="s">
        <v>493</v>
      </c>
      <c r="D28" s="209">
        <v>22</v>
      </c>
      <c r="F28" s="224"/>
      <c r="G28" s="225" t="s">
        <v>548</v>
      </c>
      <c r="H28" s="226" t="s">
        <v>525</v>
      </c>
      <c r="I28" s="227" t="s">
        <v>519</v>
      </c>
      <c r="J28" s="228" t="s">
        <v>549</v>
      </c>
      <c r="K28" s="229">
        <v>19.43</v>
      </c>
      <c r="L28" s="230">
        <v>19.57</v>
      </c>
      <c r="N28" s="248" t="s">
        <v>591</v>
      </c>
      <c r="O28" s="249">
        <v>25.50971851545231</v>
      </c>
      <c r="P28" s="250">
        <v>568875.40010999993</v>
      </c>
      <c r="R28" s="150">
        <v>2009</v>
      </c>
      <c r="S28" s="278">
        <f>'TCC-TES'!S13</f>
        <v>0.12401885052936203</v>
      </c>
      <c r="T28" s="280">
        <f t="shared" si="3"/>
        <v>7.9740384615384616E-2</v>
      </c>
      <c r="U28" s="278">
        <f t="shared" si="0"/>
        <v>4.4278465913977411E-2</v>
      </c>
      <c r="V28" s="158">
        <v>0.02</v>
      </c>
      <c r="W28" s="281">
        <f t="shared" si="1"/>
        <v>0.10197926522486478</v>
      </c>
      <c r="X28" s="265">
        <f t="shared" si="4"/>
        <v>7.0017307692307684E-2</v>
      </c>
      <c r="Y28" s="160">
        <f t="shared" si="2"/>
        <v>-9.7230769230769315E-3</v>
      </c>
    </row>
    <row r="29" spans="1:25" ht="15.75" thickBot="1">
      <c r="A29" s="208">
        <v>36448</v>
      </c>
      <c r="B29" s="208">
        <v>36381</v>
      </c>
      <c r="C29" s="208" t="s">
        <v>494</v>
      </c>
      <c r="D29" s="209">
        <v>19.649999999999999</v>
      </c>
      <c r="F29" s="224"/>
      <c r="G29" s="225"/>
      <c r="H29" s="226" t="s">
        <v>528</v>
      </c>
      <c r="I29" s="227" t="s">
        <v>519</v>
      </c>
      <c r="J29" s="228" t="s">
        <v>550</v>
      </c>
      <c r="K29" s="229">
        <v>18.95</v>
      </c>
      <c r="L29" s="230">
        <v>19.8</v>
      </c>
      <c r="N29" s="248" t="s">
        <v>592</v>
      </c>
      <c r="O29" s="249">
        <v>25.894536524781447</v>
      </c>
      <c r="P29" s="250">
        <v>743604.97004000051</v>
      </c>
      <c r="R29" s="282" t="s">
        <v>81</v>
      </c>
      <c r="S29" s="104"/>
      <c r="T29" s="173"/>
      <c r="U29" s="283">
        <f>AVERAGE(U18:U28)</f>
        <v>3.1988029063533291E-2</v>
      </c>
      <c r="V29" s="173"/>
      <c r="W29" s="283">
        <f>AVERAGE(W18:W28)</f>
        <v>8.564729118804798E-2</v>
      </c>
      <c r="X29" s="173"/>
      <c r="Y29" s="283">
        <f>AVERAGE(Y18:Y28)</f>
        <v>-1.951923191815429E-2</v>
      </c>
    </row>
    <row r="30" spans="1:25">
      <c r="A30" s="208">
        <v>36448</v>
      </c>
      <c r="B30" s="208">
        <v>36381</v>
      </c>
      <c r="C30" s="208" t="s">
        <v>493</v>
      </c>
      <c r="D30" s="209">
        <v>19.649999999999999</v>
      </c>
      <c r="F30" s="224"/>
      <c r="G30" s="225"/>
      <c r="H30" s="226" t="s">
        <v>530</v>
      </c>
      <c r="I30" s="227" t="s">
        <v>519</v>
      </c>
      <c r="J30" s="228" t="s">
        <v>551</v>
      </c>
      <c r="K30" s="229">
        <v>18.91</v>
      </c>
      <c r="L30" s="230">
        <v>19.88</v>
      </c>
      <c r="N30" s="248" t="s">
        <v>593</v>
      </c>
      <c r="O30" s="249">
        <v>27.178117392870366</v>
      </c>
      <c r="P30" s="250">
        <v>840785.81574000011</v>
      </c>
    </row>
    <row r="31" spans="1:25">
      <c r="A31" s="208">
        <v>36462</v>
      </c>
      <c r="B31" s="208">
        <v>36381</v>
      </c>
      <c r="C31" s="208" t="s">
        <v>494</v>
      </c>
      <c r="D31" s="209">
        <v>19.350000000000001</v>
      </c>
      <c r="F31" s="224"/>
      <c r="G31" s="225"/>
      <c r="H31" s="226" t="s">
        <v>532</v>
      </c>
      <c r="I31" s="227" t="s">
        <v>519</v>
      </c>
      <c r="J31" s="228" t="s">
        <v>552</v>
      </c>
      <c r="K31" s="229">
        <v>18.3</v>
      </c>
      <c r="L31" s="230">
        <v>19.059999999999999</v>
      </c>
      <c r="N31" s="248" t="s">
        <v>594</v>
      </c>
      <c r="O31" s="249">
        <v>26.147838164518753</v>
      </c>
      <c r="P31" s="250">
        <v>494647.64144999994</v>
      </c>
    </row>
    <row r="32" spans="1:25">
      <c r="A32" s="208">
        <v>36462</v>
      </c>
      <c r="B32" s="208">
        <v>36381</v>
      </c>
      <c r="C32" s="208" t="s">
        <v>493</v>
      </c>
      <c r="D32" s="209">
        <v>19.350000000000001</v>
      </c>
      <c r="F32" s="224"/>
      <c r="G32" s="225"/>
      <c r="H32" s="226" t="s">
        <v>534</v>
      </c>
      <c r="I32" s="227" t="s">
        <v>519</v>
      </c>
      <c r="J32" s="228" t="s">
        <v>518</v>
      </c>
      <c r="K32" s="229">
        <v>18.420000000000002</v>
      </c>
      <c r="L32" s="230">
        <v>20.04</v>
      </c>
      <c r="N32" s="248" t="s">
        <v>595</v>
      </c>
      <c r="O32" s="249">
        <v>26.5963992183862</v>
      </c>
      <c r="P32" s="250">
        <v>651719.92602999997</v>
      </c>
    </row>
    <row r="33" spans="1:16">
      <c r="A33" s="208">
        <v>36476</v>
      </c>
      <c r="B33" s="208">
        <v>36381</v>
      </c>
      <c r="C33" s="208" t="s">
        <v>494</v>
      </c>
      <c r="D33" s="209">
        <v>17.899999999999999</v>
      </c>
      <c r="F33" s="224"/>
      <c r="G33" s="225" t="s">
        <v>553</v>
      </c>
      <c r="H33" s="226" t="s">
        <v>538</v>
      </c>
      <c r="I33" s="227" t="s">
        <v>519</v>
      </c>
      <c r="J33" s="228" t="s">
        <v>521</v>
      </c>
      <c r="K33" s="229">
        <v>18.649999999999999</v>
      </c>
      <c r="L33" s="230">
        <v>19.13</v>
      </c>
      <c r="N33" s="248" t="s">
        <v>596</v>
      </c>
      <c r="O33" s="249">
        <v>26.778469033098375</v>
      </c>
      <c r="P33" s="250">
        <v>636244.37463000009</v>
      </c>
    </row>
    <row r="34" spans="1:16">
      <c r="A34" s="208">
        <v>36476</v>
      </c>
      <c r="B34" s="208">
        <v>36381</v>
      </c>
      <c r="C34" s="208" t="s">
        <v>493</v>
      </c>
      <c r="D34" s="209">
        <v>17.899999999999999</v>
      </c>
      <c r="F34" s="224"/>
      <c r="G34" s="225"/>
      <c r="H34" s="226" t="s">
        <v>539</v>
      </c>
      <c r="I34" s="227" t="s">
        <v>519</v>
      </c>
      <c r="J34" s="228" t="s">
        <v>540</v>
      </c>
      <c r="K34" s="229">
        <v>19.82</v>
      </c>
      <c r="L34" s="230">
        <v>19.309999999999999</v>
      </c>
      <c r="N34" s="248" t="s">
        <v>597</v>
      </c>
      <c r="O34" s="249">
        <v>26.36678206068267</v>
      </c>
      <c r="P34" s="250">
        <v>746729.10481999989</v>
      </c>
    </row>
    <row r="35" spans="1:16">
      <c r="A35" s="208">
        <v>36490</v>
      </c>
      <c r="B35" s="208">
        <v>36381</v>
      </c>
      <c r="C35" s="208" t="s">
        <v>494</v>
      </c>
      <c r="D35" s="209">
        <v>17.25</v>
      </c>
      <c r="F35" s="224"/>
      <c r="G35" s="225"/>
      <c r="H35" s="226" t="s">
        <v>541</v>
      </c>
      <c r="I35" s="227" t="s">
        <v>519</v>
      </c>
      <c r="J35" s="228" t="s">
        <v>524</v>
      </c>
      <c r="K35" s="229">
        <v>19.489999999999998</v>
      </c>
      <c r="L35" s="230">
        <v>20.02</v>
      </c>
      <c r="N35" s="248" t="s">
        <v>598</v>
      </c>
      <c r="O35" s="249">
        <v>27.124367715746814</v>
      </c>
      <c r="P35" s="250">
        <v>540959.83140000002</v>
      </c>
    </row>
    <row r="36" spans="1:16">
      <c r="A36" s="208">
        <v>36507</v>
      </c>
      <c r="B36" s="208">
        <v>36458</v>
      </c>
      <c r="C36" s="208" t="s">
        <v>494</v>
      </c>
      <c r="D36" s="209">
        <v>16.39</v>
      </c>
      <c r="F36" s="224"/>
      <c r="G36" s="225"/>
      <c r="H36" s="226" t="s">
        <v>542</v>
      </c>
      <c r="I36" s="227" t="s">
        <v>519</v>
      </c>
      <c r="J36" s="228" t="s">
        <v>527</v>
      </c>
      <c r="K36" s="229">
        <v>19.77</v>
      </c>
      <c r="L36" s="230">
        <v>20.59</v>
      </c>
      <c r="N36" s="248" t="s">
        <v>599</v>
      </c>
      <c r="O36" s="249">
        <v>24.99465845128541</v>
      </c>
      <c r="P36" s="250">
        <v>687508.84886000003</v>
      </c>
    </row>
    <row r="37" spans="1:16" ht="15.75" thickBot="1">
      <c r="A37" s="208">
        <v>36507</v>
      </c>
      <c r="B37" s="208">
        <v>36458</v>
      </c>
      <c r="C37" s="208" t="s">
        <v>493</v>
      </c>
      <c r="D37" s="209">
        <v>16.39</v>
      </c>
      <c r="F37" s="224"/>
      <c r="G37" s="225" t="s">
        <v>554</v>
      </c>
      <c r="H37" s="226" t="s">
        <v>543</v>
      </c>
      <c r="I37" s="227" t="s">
        <v>519</v>
      </c>
      <c r="J37" s="228" t="s">
        <v>529</v>
      </c>
      <c r="K37" s="229">
        <v>20.13</v>
      </c>
      <c r="L37" s="230">
        <v>20.48</v>
      </c>
      <c r="N37" s="248" t="s">
        <v>600</v>
      </c>
      <c r="O37" s="249">
        <v>24.133438174489093</v>
      </c>
      <c r="P37" s="250">
        <v>601109.61047999992</v>
      </c>
    </row>
    <row r="38" spans="1:16" ht="15.75" thickBot="1">
      <c r="A38" s="656" t="s">
        <v>495</v>
      </c>
      <c r="B38" s="657"/>
      <c r="C38" s="658"/>
      <c r="D38" s="261">
        <f>AVERAGE(D4:D37)</f>
        <v>20.927352941176469</v>
      </c>
      <c r="F38" s="224"/>
      <c r="G38" s="225"/>
      <c r="H38" s="226" t="s">
        <v>546</v>
      </c>
      <c r="I38" s="227" t="s">
        <v>519</v>
      </c>
      <c r="J38" s="228" t="s">
        <v>531</v>
      </c>
      <c r="K38" s="229">
        <v>19.96</v>
      </c>
      <c r="L38" s="230">
        <v>20.58</v>
      </c>
      <c r="N38" s="248" t="s">
        <v>601</v>
      </c>
      <c r="O38" s="249">
        <v>24.168111013399066</v>
      </c>
      <c r="P38" s="250">
        <v>757849.47250999999</v>
      </c>
    </row>
    <row r="39" spans="1:16">
      <c r="A39" s="208">
        <v>36539</v>
      </c>
      <c r="B39" s="208">
        <v>36458</v>
      </c>
      <c r="C39" s="208" t="s">
        <v>494</v>
      </c>
      <c r="D39" s="209">
        <v>13.5</v>
      </c>
      <c r="F39" s="224"/>
      <c r="G39" s="225"/>
      <c r="H39" s="226" t="s">
        <v>547</v>
      </c>
      <c r="I39" s="227" t="s">
        <v>519</v>
      </c>
      <c r="J39" s="228" t="s">
        <v>533</v>
      </c>
      <c r="K39" s="229">
        <v>19.98</v>
      </c>
      <c r="L39" s="230">
        <v>20.66</v>
      </c>
      <c r="N39" s="248" t="s">
        <v>602</v>
      </c>
      <c r="O39" s="249">
        <v>24.798019299445109</v>
      </c>
      <c r="P39" s="250">
        <v>654542.04300999979</v>
      </c>
    </row>
    <row r="40" spans="1:16">
      <c r="A40" s="208">
        <v>36539</v>
      </c>
      <c r="B40" s="208">
        <v>36458</v>
      </c>
      <c r="C40" s="208" t="s">
        <v>493</v>
      </c>
      <c r="D40" s="209">
        <v>13.5</v>
      </c>
      <c r="F40" s="224"/>
      <c r="G40" s="225"/>
      <c r="H40" s="226" t="s">
        <v>555</v>
      </c>
      <c r="I40" s="227" t="s">
        <v>519</v>
      </c>
      <c r="J40" s="228" t="s">
        <v>536</v>
      </c>
      <c r="K40" s="229">
        <v>19.89</v>
      </c>
      <c r="L40" s="230">
        <v>20.34</v>
      </c>
      <c r="N40" s="248" t="s">
        <v>603</v>
      </c>
      <c r="O40" s="249">
        <v>23.304619601200422</v>
      </c>
      <c r="P40" s="250">
        <v>895914.36415000004</v>
      </c>
    </row>
    <row r="41" spans="1:16">
      <c r="A41" s="208">
        <v>36546</v>
      </c>
      <c r="B41" s="208">
        <v>36458</v>
      </c>
      <c r="C41" s="208" t="s">
        <v>494</v>
      </c>
      <c r="D41" s="209">
        <v>12.4</v>
      </c>
      <c r="F41" s="224"/>
      <c r="G41" s="225" t="s">
        <v>556</v>
      </c>
      <c r="H41" s="226" t="s">
        <v>557</v>
      </c>
      <c r="I41" s="227" t="s">
        <v>519</v>
      </c>
      <c r="J41" s="228" t="s">
        <v>538</v>
      </c>
      <c r="K41" s="229">
        <v>19.95</v>
      </c>
      <c r="L41" s="230">
        <v>20.059999999999999</v>
      </c>
      <c r="N41" s="248" t="s">
        <v>604</v>
      </c>
      <c r="O41" s="249">
        <v>23.627797097822949</v>
      </c>
      <c r="P41" s="250">
        <v>691909.33826999995</v>
      </c>
    </row>
    <row r="42" spans="1:16">
      <c r="A42" s="208">
        <v>36567</v>
      </c>
      <c r="B42" s="208">
        <v>36458</v>
      </c>
      <c r="C42" s="208" t="s">
        <v>494</v>
      </c>
      <c r="D42" s="209">
        <v>14.64</v>
      </c>
      <c r="F42" s="224"/>
      <c r="G42" s="225"/>
      <c r="H42" s="226" t="s">
        <v>549</v>
      </c>
      <c r="I42" s="227" t="s">
        <v>519</v>
      </c>
      <c r="J42" s="228" t="s">
        <v>539</v>
      </c>
      <c r="K42" s="229">
        <v>19.489999999999998</v>
      </c>
      <c r="L42" s="230">
        <v>19.71</v>
      </c>
      <c r="N42" s="248" t="s">
        <v>605</v>
      </c>
      <c r="O42" s="249">
        <v>23.735004652886182</v>
      </c>
      <c r="P42" s="250">
        <v>852816.97257999994</v>
      </c>
    </row>
    <row r="43" spans="1:16">
      <c r="A43" s="208">
        <v>36567</v>
      </c>
      <c r="B43" s="208">
        <v>36458</v>
      </c>
      <c r="C43" s="208" t="s">
        <v>493</v>
      </c>
      <c r="D43" s="209">
        <v>14.64</v>
      </c>
      <c r="F43" s="224"/>
      <c r="G43" s="225"/>
      <c r="H43" s="226" t="s">
        <v>550</v>
      </c>
      <c r="I43" s="227" t="s">
        <v>519</v>
      </c>
      <c r="J43" s="228" t="s">
        <v>541</v>
      </c>
      <c r="K43" s="229">
        <v>19.66</v>
      </c>
      <c r="L43" s="230">
        <v>21.08</v>
      </c>
      <c r="N43" s="248" t="s">
        <v>606</v>
      </c>
      <c r="O43" s="249">
        <v>26.921164895539388</v>
      </c>
      <c r="P43" s="250">
        <v>1235400.8247300005</v>
      </c>
    </row>
    <row r="44" spans="1:16">
      <c r="A44" s="208">
        <v>36581</v>
      </c>
      <c r="B44" s="208">
        <v>36458</v>
      </c>
      <c r="C44" s="208" t="s">
        <v>494</v>
      </c>
      <c r="D44" s="209">
        <v>14.59</v>
      </c>
      <c r="F44" s="224"/>
      <c r="G44" s="225"/>
      <c r="H44" s="226" t="s">
        <v>551</v>
      </c>
      <c r="I44" s="227" t="s">
        <v>519</v>
      </c>
      <c r="J44" s="228" t="s">
        <v>542</v>
      </c>
      <c r="K44" s="229">
        <v>19.18</v>
      </c>
      <c r="L44" s="230">
        <v>20.67</v>
      </c>
      <c r="N44" s="248" t="s">
        <v>607</v>
      </c>
      <c r="O44" s="249">
        <v>24.758211623235542</v>
      </c>
      <c r="P44" s="250">
        <v>715928.9455899999</v>
      </c>
    </row>
    <row r="45" spans="1:16">
      <c r="A45" s="208">
        <v>36595</v>
      </c>
      <c r="B45" s="208">
        <v>36458</v>
      </c>
      <c r="C45" s="208" t="s">
        <v>494</v>
      </c>
      <c r="D45" s="209">
        <v>15.5</v>
      </c>
      <c r="F45" s="224"/>
      <c r="G45" s="225" t="s">
        <v>558</v>
      </c>
      <c r="H45" s="226" t="s">
        <v>552</v>
      </c>
      <c r="I45" s="227" t="s">
        <v>519</v>
      </c>
      <c r="J45" s="228" t="s">
        <v>545</v>
      </c>
      <c r="K45" s="229">
        <v>19.96</v>
      </c>
      <c r="L45" s="230">
        <v>20.329999999999998</v>
      </c>
      <c r="N45" s="248" t="s">
        <v>608</v>
      </c>
      <c r="O45" s="249">
        <v>22.138968677371537</v>
      </c>
      <c r="P45" s="250">
        <v>1022933.1447600001</v>
      </c>
    </row>
    <row r="46" spans="1:16">
      <c r="A46" s="208">
        <v>36609</v>
      </c>
      <c r="B46" s="208">
        <v>36458</v>
      </c>
      <c r="C46" s="208" t="s">
        <v>494</v>
      </c>
      <c r="D46" s="209">
        <v>17.45</v>
      </c>
      <c r="F46" s="224"/>
      <c r="G46" s="225"/>
      <c r="H46" s="226" t="s">
        <v>518</v>
      </c>
      <c r="I46" s="227" t="s">
        <v>519</v>
      </c>
      <c r="J46" s="228" t="s">
        <v>520</v>
      </c>
      <c r="K46" s="229">
        <v>19.82</v>
      </c>
      <c r="L46" s="230">
        <v>18.47</v>
      </c>
      <c r="N46" s="248" t="s">
        <v>609</v>
      </c>
      <c r="O46" s="249">
        <v>22.614379433105075</v>
      </c>
      <c r="P46" s="250">
        <v>867783.04742000008</v>
      </c>
    </row>
    <row r="47" spans="1:16">
      <c r="A47" s="208">
        <v>36609</v>
      </c>
      <c r="B47" s="208">
        <v>36458</v>
      </c>
      <c r="C47" s="208" t="s">
        <v>493</v>
      </c>
      <c r="D47" s="209">
        <v>17.45</v>
      </c>
      <c r="F47" s="224"/>
      <c r="G47" s="225"/>
      <c r="H47" s="226" t="s">
        <v>521</v>
      </c>
      <c r="I47" s="227" t="s">
        <v>519</v>
      </c>
      <c r="J47" s="228" t="s">
        <v>522</v>
      </c>
      <c r="K47" s="229">
        <v>19.38</v>
      </c>
      <c r="L47" s="230">
        <v>19.059999999999999</v>
      </c>
      <c r="N47" s="248" t="s">
        <v>610</v>
      </c>
      <c r="O47" s="249">
        <v>22.905634760779716</v>
      </c>
      <c r="P47" s="250">
        <v>945989.13181999943</v>
      </c>
    </row>
    <row r="48" spans="1:16">
      <c r="A48" s="208">
        <v>36630</v>
      </c>
      <c r="B48" s="208">
        <v>36458</v>
      </c>
      <c r="C48" s="208" t="s">
        <v>494</v>
      </c>
      <c r="D48" s="209">
        <v>17.2</v>
      </c>
      <c r="F48" s="224"/>
      <c r="G48" s="225"/>
      <c r="H48" s="226" t="s">
        <v>540</v>
      </c>
      <c r="I48" s="227" t="s">
        <v>519</v>
      </c>
      <c r="J48" s="228" t="s">
        <v>523</v>
      </c>
      <c r="K48" s="229">
        <v>19.89</v>
      </c>
      <c r="L48" s="230">
        <v>20.440000000000001</v>
      </c>
      <c r="N48" s="248" t="s">
        <v>611</v>
      </c>
      <c r="O48" s="249">
        <v>23.971267566127306</v>
      </c>
      <c r="P48" s="250">
        <v>561576.35137000005</v>
      </c>
    </row>
    <row r="49" spans="1:16">
      <c r="A49" s="208">
        <v>36630</v>
      </c>
      <c r="B49" s="208">
        <v>36458</v>
      </c>
      <c r="C49" s="208" t="s">
        <v>493</v>
      </c>
      <c r="D49" s="209">
        <v>17.2</v>
      </c>
      <c r="F49" s="224"/>
      <c r="G49" s="225"/>
      <c r="H49" s="231" t="s">
        <v>524</v>
      </c>
      <c r="I49" s="227" t="s">
        <v>519</v>
      </c>
      <c r="J49" s="228" t="s">
        <v>525</v>
      </c>
      <c r="K49" s="229">
        <v>19.940000000000001</v>
      </c>
      <c r="L49" s="230">
        <v>21.28</v>
      </c>
      <c r="N49" s="248" t="s">
        <v>612</v>
      </c>
      <c r="O49" s="249">
        <v>22.442145934942417</v>
      </c>
      <c r="P49" s="250">
        <v>778387.13344999996</v>
      </c>
    </row>
    <row r="50" spans="1:16">
      <c r="A50" s="208">
        <v>36644</v>
      </c>
      <c r="B50" s="208">
        <v>36458</v>
      </c>
      <c r="C50" s="208" t="s">
        <v>494</v>
      </c>
      <c r="D50" s="209">
        <v>17.39</v>
      </c>
      <c r="F50" s="224"/>
      <c r="G50" s="225" t="s">
        <v>559</v>
      </c>
      <c r="H50" s="231" t="s">
        <v>527</v>
      </c>
      <c r="I50" s="227" t="s">
        <v>519</v>
      </c>
      <c r="J50" s="232" t="s">
        <v>528</v>
      </c>
      <c r="K50" s="229">
        <v>19.399999999999999</v>
      </c>
      <c r="L50" s="230">
        <v>20.69</v>
      </c>
      <c r="N50" s="248" t="s">
        <v>613</v>
      </c>
      <c r="O50" s="249">
        <v>20.824111604112186</v>
      </c>
      <c r="P50" s="250">
        <v>756958.29687999992</v>
      </c>
    </row>
    <row r="51" spans="1:16">
      <c r="A51" s="208">
        <v>36644</v>
      </c>
      <c r="B51" s="208">
        <v>36458</v>
      </c>
      <c r="C51" s="208" t="s">
        <v>493</v>
      </c>
      <c r="D51" s="209">
        <v>17.39</v>
      </c>
      <c r="F51" s="224"/>
      <c r="G51" s="225"/>
      <c r="H51" s="231" t="s">
        <v>529</v>
      </c>
      <c r="I51" s="227" t="s">
        <v>519</v>
      </c>
      <c r="J51" s="228" t="s">
        <v>530</v>
      </c>
      <c r="K51" s="229">
        <v>19.190000000000001</v>
      </c>
      <c r="L51" s="230">
        <v>20.67</v>
      </c>
      <c r="N51" s="248" t="s">
        <v>614</v>
      </c>
      <c r="O51" s="249">
        <v>19.816910836577978</v>
      </c>
      <c r="P51" s="250">
        <v>958751.19498999964</v>
      </c>
    </row>
    <row r="52" spans="1:16">
      <c r="A52" s="208">
        <v>36567</v>
      </c>
      <c r="B52" s="208">
        <v>36560</v>
      </c>
      <c r="C52" s="208" t="s">
        <v>496</v>
      </c>
      <c r="D52" s="209">
        <v>15.55</v>
      </c>
      <c r="F52" s="224"/>
      <c r="G52" s="225"/>
      <c r="H52" s="231" t="s">
        <v>531</v>
      </c>
      <c r="I52" s="227" t="s">
        <v>519</v>
      </c>
      <c r="J52" s="228" t="s">
        <v>532</v>
      </c>
      <c r="K52" s="229">
        <v>18.34</v>
      </c>
      <c r="L52" s="230">
        <v>19.12</v>
      </c>
      <c r="N52" s="248" t="s">
        <v>615</v>
      </c>
      <c r="O52" s="249">
        <v>20.825148247692272</v>
      </c>
      <c r="P52" s="250">
        <v>829287.82509999978</v>
      </c>
    </row>
    <row r="53" spans="1:16">
      <c r="A53" s="208">
        <v>36567</v>
      </c>
      <c r="B53" s="208">
        <v>36560</v>
      </c>
      <c r="C53" s="208" t="s">
        <v>497</v>
      </c>
      <c r="D53" s="209">
        <v>15.55</v>
      </c>
      <c r="F53" s="224"/>
      <c r="G53" s="225"/>
      <c r="H53" s="231" t="s">
        <v>533</v>
      </c>
      <c r="I53" s="227" t="s">
        <v>519</v>
      </c>
      <c r="J53" s="228" t="s">
        <v>534</v>
      </c>
      <c r="K53" s="229">
        <v>18.34</v>
      </c>
      <c r="L53" s="230">
        <v>19.12</v>
      </c>
      <c r="N53" s="248" t="s">
        <v>616</v>
      </c>
      <c r="O53" s="249">
        <v>20.066154356804347</v>
      </c>
      <c r="P53" s="250">
        <v>686997.49086999998</v>
      </c>
    </row>
    <row r="54" spans="1:16">
      <c r="A54" s="208">
        <v>36581</v>
      </c>
      <c r="B54" s="208">
        <v>36560</v>
      </c>
      <c r="C54" s="208" t="s">
        <v>496</v>
      </c>
      <c r="D54" s="209">
        <v>16.260000000000002</v>
      </c>
      <c r="F54" s="224"/>
      <c r="G54" s="225" t="s">
        <v>560</v>
      </c>
      <c r="H54" s="226" t="s">
        <v>536</v>
      </c>
      <c r="I54" s="227" t="s">
        <v>519</v>
      </c>
      <c r="J54" s="232" t="s">
        <v>538</v>
      </c>
      <c r="K54" s="229">
        <v>18.37</v>
      </c>
      <c r="L54" s="230">
        <v>19.260000000000002</v>
      </c>
      <c r="N54" s="248" t="s">
        <v>617</v>
      </c>
      <c r="O54" s="249">
        <v>19.413682230609858</v>
      </c>
      <c r="P54" s="250">
        <v>1030111.9304800007</v>
      </c>
    </row>
    <row r="55" spans="1:16">
      <c r="A55" s="208">
        <v>36581</v>
      </c>
      <c r="B55" s="208">
        <v>36560</v>
      </c>
      <c r="C55" s="208" t="s">
        <v>497</v>
      </c>
      <c r="D55" s="209">
        <v>16.260000000000002</v>
      </c>
      <c r="F55" s="224"/>
      <c r="G55" s="225"/>
      <c r="H55" s="231" t="s">
        <v>549</v>
      </c>
      <c r="I55" s="227" t="s">
        <v>519</v>
      </c>
      <c r="J55" s="228" t="s">
        <v>539</v>
      </c>
      <c r="K55" s="229">
        <v>18.329999999999998</v>
      </c>
      <c r="L55" s="230">
        <v>18.78</v>
      </c>
      <c r="N55" s="248" t="s">
        <v>618</v>
      </c>
      <c r="O55" s="249">
        <v>20.970285141276939</v>
      </c>
      <c r="P55" s="250">
        <v>568351.20413000009</v>
      </c>
    </row>
    <row r="56" spans="1:16" ht="15.75" thickBot="1">
      <c r="A56" s="208">
        <v>36595</v>
      </c>
      <c r="B56" s="208">
        <v>36560</v>
      </c>
      <c r="C56" s="208" t="s">
        <v>496</v>
      </c>
      <c r="D56" s="209">
        <v>16.989999999999998</v>
      </c>
      <c r="F56" s="224"/>
      <c r="G56" s="225"/>
      <c r="H56" s="231" t="s">
        <v>550</v>
      </c>
      <c r="I56" s="227" t="s">
        <v>519</v>
      </c>
      <c r="J56" s="228" t="s">
        <v>541</v>
      </c>
      <c r="K56" s="229">
        <v>18.14</v>
      </c>
      <c r="L56" s="230">
        <v>18.43</v>
      </c>
      <c r="N56" s="248" t="s">
        <v>619</v>
      </c>
      <c r="O56" s="249">
        <v>19.727257211997497</v>
      </c>
      <c r="P56" s="250">
        <v>682310.71672000003</v>
      </c>
    </row>
    <row r="57" spans="1:16" ht="16.5" thickBot="1">
      <c r="A57" s="208">
        <v>36595</v>
      </c>
      <c r="B57" s="208">
        <v>36560</v>
      </c>
      <c r="C57" s="208" t="s">
        <v>497</v>
      </c>
      <c r="D57" s="209">
        <v>16.989999999999998</v>
      </c>
      <c r="F57" s="224"/>
      <c r="G57" s="225"/>
      <c r="H57" s="226" t="s">
        <v>551</v>
      </c>
      <c r="I57" s="227" t="s">
        <v>519</v>
      </c>
      <c r="J57" s="228" t="s">
        <v>542</v>
      </c>
      <c r="K57" s="229">
        <v>17.04</v>
      </c>
      <c r="L57" s="230">
        <v>18.53</v>
      </c>
      <c r="N57" s="251" t="s">
        <v>561</v>
      </c>
      <c r="O57" s="252">
        <f>AVERAGE(O5:O56)</f>
        <v>27.577597135266931</v>
      </c>
      <c r="P57" s="250"/>
    </row>
    <row r="58" spans="1:16" ht="15.75" thickBot="1">
      <c r="A58" s="208">
        <v>36609</v>
      </c>
      <c r="B58" s="208">
        <v>36560</v>
      </c>
      <c r="C58" s="208" t="s">
        <v>496</v>
      </c>
      <c r="D58" s="209">
        <v>19.100000000000001</v>
      </c>
      <c r="F58" s="224"/>
      <c r="G58" s="225"/>
      <c r="H58" s="226" t="s">
        <v>552</v>
      </c>
      <c r="I58" s="227" t="s">
        <v>519</v>
      </c>
      <c r="J58" s="228" t="s">
        <v>543</v>
      </c>
      <c r="K58" s="229">
        <v>16.809999999999999</v>
      </c>
      <c r="L58" s="230">
        <v>17.03</v>
      </c>
      <c r="N58" s="248" t="s">
        <v>620</v>
      </c>
      <c r="O58" s="249">
        <v>19.405320836868334</v>
      </c>
      <c r="P58" s="250">
        <v>450386.86747999978</v>
      </c>
    </row>
    <row r="59" spans="1:16" ht="15.75" thickBot="1">
      <c r="A59" s="208">
        <v>36609</v>
      </c>
      <c r="B59" s="208">
        <v>36560</v>
      </c>
      <c r="C59" s="208" t="s">
        <v>497</v>
      </c>
      <c r="D59" s="209">
        <v>19.100000000000001</v>
      </c>
      <c r="F59" s="640" t="s">
        <v>561</v>
      </c>
      <c r="G59" s="641"/>
      <c r="H59" s="641"/>
      <c r="I59" s="641"/>
      <c r="J59" s="641"/>
      <c r="K59" s="642"/>
      <c r="L59" s="234">
        <f>AVERAGE(L41:L58)</f>
        <v>19.596111111111114</v>
      </c>
      <c r="N59" s="248" t="s">
        <v>621</v>
      </c>
      <c r="O59" s="249">
        <v>16.884397239034904</v>
      </c>
      <c r="P59" s="250">
        <v>343631.1649899999</v>
      </c>
    </row>
    <row r="60" spans="1:16">
      <c r="A60" s="208">
        <v>36630</v>
      </c>
      <c r="B60" s="208">
        <v>36560</v>
      </c>
      <c r="C60" s="208" t="s">
        <v>496</v>
      </c>
      <c r="D60" s="209">
        <v>18.850000000000001</v>
      </c>
      <c r="F60" s="224">
        <v>2000</v>
      </c>
      <c r="G60" s="225" t="s">
        <v>517</v>
      </c>
      <c r="H60" s="231" t="s">
        <v>545</v>
      </c>
      <c r="I60" s="227" t="s">
        <v>519</v>
      </c>
      <c r="J60" s="232" t="s">
        <v>546</v>
      </c>
      <c r="K60" s="229">
        <v>16.190000000000001</v>
      </c>
      <c r="L60" s="230">
        <v>16.52</v>
      </c>
      <c r="N60" s="248" t="s">
        <v>622</v>
      </c>
      <c r="O60" s="249">
        <v>14.702977823063769</v>
      </c>
      <c r="P60" s="250">
        <v>1017859.5278800002</v>
      </c>
    </row>
    <row r="61" spans="1:16">
      <c r="A61" s="208">
        <v>36630</v>
      </c>
      <c r="B61" s="208">
        <v>36560</v>
      </c>
      <c r="C61" s="208" t="s">
        <v>497</v>
      </c>
      <c r="D61" s="209">
        <v>18.850000000000001</v>
      </c>
      <c r="F61" s="224"/>
      <c r="G61" s="225"/>
      <c r="H61" s="226" t="s">
        <v>520</v>
      </c>
      <c r="I61" s="227" t="s">
        <v>519</v>
      </c>
      <c r="J61" s="228" t="s">
        <v>547</v>
      </c>
      <c r="K61" s="229">
        <v>15.44</v>
      </c>
      <c r="L61" s="230">
        <v>16.03</v>
      </c>
      <c r="N61" s="248" t="s">
        <v>623</v>
      </c>
      <c r="O61" s="249">
        <v>15.331014291366154</v>
      </c>
      <c r="P61" s="250">
        <v>837828.41721000022</v>
      </c>
    </row>
    <row r="62" spans="1:16">
      <c r="A62" s="208">
        <v>36644</v>
      </c>
      <c r="B62" s="208">
        <v>36560</v>
      </c>
      <c r="C62" s="208" t="s">
        <v>496</v>
      </c>
      <c r="D62" s="209">
        <v>18.899999999999999</v>
      </c>
      <c r="F62" s="224"/>
      <c r="G62" s="225"/>
      <c r="H62" s="226" t="s">
        <v>522</v>
      </c>
      <c r="I62" s="227" t="s">
        <v>519</v>
      </c>
      <c r="J62" s="228" t="s">
        <v>555</v>
      </c>
      <c r="K62" s="229">
        <v>14.35</v>
      </c>
      <c r="L62" s="230">
        <v>15.45</v>
      </c>
      <c r="N62" s="248" t="s">
        <v>624</v>
      </c>
      <c r="O62" s="249">
        <v>14.970025031702855</v>
      </c>
      <c r="P62" s="250">
        <v>678871.37355000002</v>
      </c>
    </row>
    <row r="63" spans="1:16">
      <c r="A63" s="208">
        <v>36644</v>
      </c>
      <c r="B63" s="208">
        <v>36560</v>
      </c>
      <c r="C63" s="208" t="s">
        <v>497</v>
      </c>
      <c r="D63" s="209">
        <v>18.899999999999999</v>
      </c>
      <c r="F63" s="224"/>
      <c r="G63" s="225"/>
      <c r="H63" s="226" t="s">
        <v>523</v>
      </c>
      <c r="I63" s="227" t="s">
        <v>519</v>
      </c>
      <c r="J63" s="228" t="s">
        <v>557</v>
      </c>
      <c r="K63" s="229">
        <v>13.03</v>
      </c>
      <c r="L63" s="230">
        <v>14.09</v>
      </c>
      <c r="N63" s="248" t="s">
        <v>625</v>
      </c>
      <c r="O63" s="249">
        <v>15.753019621596918</v>
      </c>
      <c r="P63" s="250">
        <v>624135.00424000015</v>
      </c>
    </row>
    <row r="64" spans="1:16">
      <c r="A64" s="208">
        <v>36658</v>
      </c>
      <c r="B64" s="208">
        <v>36560</v>
      </c>
      <c r="C64" s="208" t="s">
        <v>496</v>
      </c>
      <c r="D64" s="209">
        <v>19.59</v>
      </c>
      <c r="F64" s="224"/>
      <c r="G64" s="235" t="s">
        <v>526</v>
      </c>
      <c r="H64" s="226" t="s">
        <v>525</v>
      </c>
      <c r="I64" s="227" t="s">
        <v>519</v>
      </c>
      <c r="J64" s="228" t="s">
        <v>549</v>
      </c>
      <c r="K64" s="229">
        <v>12.21</v>
      </c>
      <c r="L64" s="230">
        <v>12.91</v>
      </c>
      <c r="N64" s="248" t="s">
        <v>626</v>
      </c>
      <c r="O64" s="249">
        <v>15.020315644642602</v>
      </c>
      <c r="P64" s="250">
        <v>764558.19941999973</v>
      </c>
    </row>
    <row r="65" spans="1:16">
      <c r="A65" s="208">
        <v>36658</v>
      </c>
      <c r="B65" s="208">
        <v>36560</v>
      </c>
      <c r="C65" s="208" t="s">
        <v>497</v>
      </c>
      <c r="D65" s="209">
        <v>19.59</v>
      </c>
      <c r="F65" s="224"/>
      <c r="G65" s="235"/>
      <c r="H65" s="231" t="s">
        <v>528</v>
      </c>
      <c r="I65" s="227" t="s">
        <v>519</v>
      </c>
      <c r="J65" s="228" t="s">
        <v>550</v>
      </c>
      <c r="K65" s="229">
        <v>11.66</v>
      </c>
      <c r="L65" s="230">
        <v>12.05</v>
      </c>
      <c r="N65" s="248" t="s">
        <v>627</v>
      </c>
      <c r="O65" s="249">
        <v>15.686417061797682</v>
      </c>
      <c r="P65" s="250">
        <v>611456.87162000011</v>
      </c>
    </row>
    <row r="66" spans="1:16">
      <c r="A66" s="208">
        <v>36693</v>
      </c>
      <c r="B66" s="208">
        <v>36560</v>
      </c>
      <c r="C66" s="208" t="s">
        <v>496</v>
      </c>
      <c r="D66" s="209">
        <v>20.25</v>
      </c>
      <c r="F66" s="224"/>
      <c r="G66" s="235"/>
      <c r="H66" s="231" t="s">
        <v>530</v>
      </c>
      <c r="I66" s="227" t="s">
        <v>519</v>
      </c>
      <c r="J66" s="228" t="s">
        <v>551</v>
      </c>
      <c r="K66" s="229">
        <v>11.16</v>
      </c>
      <c r="L66" s="230">
        <v>11.53</v>
      </c>
      <c r="N66" s="248" t="s">
        <v>628</v>
      </c>
      <c r="O66" s="249">
        <v>16.245662497629439</v>
      </c>
      <c r="P66" s="250">
        <v>631839.55851999996</v>
      </c>
    </row>
    <row r="67" spans="1:16">
      <c r="A67" s="208">
        <v>36693</v>
      </c>
      <c r="B67" s="208">
        <v>36560</v>
      </c>
      <c r="C67" s="208" t="s">
        <v>497</v>
      </c>
      <c r="D67" s="209">
        <v>20.25</v>
      </c>
      <c r="F67" s="224"/>
      <c r="G67" s="235"/>
      <c r="H67" s="231" t="s">
        <v>532</v>
      </c>
      <c r="I67" s="227" t="s">
        <v>519</v>
      </c>
      <c r="J67" s="228" t="s">
        <v>552</v>
      </c>
      <c r="K67" s="229">
        <v>11.93</v>
      </c>
      <c r="L67" s="230">
        <v>10.94</v>
      </c>
      <c r="N67" s="248" t="s">
        <v>629</v>
      </c>
      <c r="O67" s="249">
        <v>15.465595942193852</v>
      </c>
      <c r="P67" s="250">
        <v>643047.77653999999</v>
      </c>
    </row>
    <row r="68" spans="1:16">
      <c r="A68" s="208">
        <v>36707</v>
      </c>
      <c r="B68" s="208">
        <v>36560</v>
      </c>
      <c r="C68" s="208" t="s">
        <v>496</v>
      </c>
      <c r="D68" s="209">
        <v>20.3</v>
      </c>
      <c r="F68" s="224"/>
      <c r="G68" s="235" t="s">
        <v>535</v>
      </c>
      <c r="H68" s="231" t="s">
        <v>534</v>
      </c>
      <c r="I68" s="227" t="s">
        <v>519</v>
      </c>
      <c r="J68" s="228" t="s">
        <v>538</v>
      </c>
      <c r="K68" s="229">
        <v>11.19</v>
      </c>
      <c r="L68" s="230">
        <v>12.24</v>
      </c>
      <c r="N68" s="248" t="s">
        <v>630</v>
      </c>
      <c r="O68" s="249">
        <v>14.796247676972587</v>
      </c>
      <c r="P68" s="250">
        <v>665277.5168499999</v>
      </c>
    </row>
    <row r="69" spans="1:16">
      <c r="A69" s="208">
        <v>36707</v>
      </c>
      <c r="B69" s="208">
        <v>36560</v>
      </c>
      <c r="C69" s="208" t="s">
        <v>497</v>
      </c>
      <c r="D69" s="209">
        <v>20.3</v>
      </c>
      <c r="F69" s="224"/>
      <c r="G69" s="235"/>
      <c r="H69" s="231" t="s">
        <v>549</v>
      </c>
      <c r="I69" s="227" t="s">
        <v>519</v>
      </c>
      <c r="J69" s="228" t="s">
        <v>539</v>
      </c>
      <c r="K69" s="229">
        <v>11.34</v>
      </c>
      <c r="L69" s="230">
        <v>12.13</v>
      </c>
      <c r="N69" s="248" t="s">
        <v>631</v>
      </c>
      <c r="O69" s="249">
        <v>16.045971405148858</v>
      </c>
      <c r="P69" s="250">
        <v>570166.7562200001</v>
      </c>
    </row>
    <row r="70" spans="1:16">
      <c r="A70" s="208">
        <v>36721</v>
      </c>
      <c r="B70" s="208">
        <v>36560</v>
      </c>
      <c r="C70" s="208" t="s">
        <v>496</v>
      </c>
      <c r="D70" s="209">
        <v>19.98</v>
      </c>
      <c r="F70" s="224"/>
      <c r="G70" s="235"/>
      <c r="H70" s="231" t="s">
        <v>550</v>
      </c>
      <c r="I70" s="227" t="s">
        <v>519</v>
      </c>
      <c r="J70" s="228" t="s">
        <v>541</v>
      </c>
      <c r="K70" s="229">
        <v>12.16</v>
      </c>
      <c r="L70" s="230">
        <v>12.36</v>
      </c>
      <c r="N70" s="248" t="s">
        <v>632</v>
      </c>
      <c r="O70" s="249">
        <v>16.584594456122151</v>
      </c>
      <c r="P70" s="250">
        <v>721483.92276999983</v>
      </c>
    </row>
    <row r="71" spans="1:16">
      <c r="A71" s="208">
        <v>36721</v>
      </c>
      <c r="B71" s="208">
        <v>36560</v>
      </c>
      <c r="C71" s="208" t="s">
        <v>497</v>
      </c>
      <c r="D71" s="209">
        <v>19.98</v>
      </c>
      <c r="F71" s="224"/>
      <c r="G71" s="235"/>
      <c r="H71" s="231" t="s">
        <v>551</v>
      </c>
      <c r="I71" s="227" t="s">
        <v>519</v>
      </c>
      <c r="J71" s="228" t="s">
        <v>542</v>
      </c>
      <c r="K71" s="229">
        <v>12.04</v>
      </c>
      <c r="L71" s="230">
        <v>11.97</v>
      </c>
      <c r="N71" s="248" t="s">
        <v>633</v>
      </c>
      <c r="O71" s="249">
        <v>16.326697860733209</v>
      </c>
      <c r="P71" s="250">
        <v>620888.61806000012</v>
      </c>
    </row>
    <row r="72" spans="1:16">
      <c r="A72" s="208">
        <v>36735</v>
      </c>
      <c r="B72" s="208">
        <v>36560</v>
      </c>
      <c r="C72" s="208" t="s">
        <v>496</v>
      </c>
      <c r="D72" s="209">
        <v>19.87</v>
      </c>
      <c r="F72" s="224"/>
      <c r="G72" s="235" t="s">
        <v>537</v>
      </c>
      <c r="H72" s="231" t="s">
        <v>552</v>
      </c>
      <c r="I72" s="227" t="s">
        <v>519</v>
      </c>
      <c r="J72" s="232" t="s">
        <v>543</v>
      </c>
      <c r="K72" s="229">
        <v>11.92</v>
      </c>
      <c r="L72" s="230">
        <v>12.84</v>
      </c>
      <c r="N72" s="248" t="s">
        <v>634</v>
      </c>
      <c r="O72" s="249">
        <v>15.106033388267756</v>
      </c>
      <c r="P72" s="250">
        <v>825831.61148999992</v>
      </c>
    </row>
    <row r="73" spans="1:16">
      <c r="A73" s="208">
        <v>36749</v>
      </c>
      <c r="B73" s="208">
        <v>36560</v>
      </c>
      <c r="C73" s="208" t="s">
        <v>496</v>
      </c>
      <c r="D73" s="209">
        <v>19.649999999999999</v>
      </c>
      <c r="F73" s="224"/>
      <c r="G73" s="235"/>
      <c r="H73" s="231" t="s">
        <v>545</v>
      </c>
      <c r="I73" s="227" t="s">
        <v>519</v>
      </c>
      <c r="J73" s="232" t="s">
        <v>546</v>
      </c>
      <c r="K73" s="229">
        <v>12.67</v>
      </c>
      <c r="L73" s="230">
        <v>12.93</v>
      </c>
      <c r="N73" s="248" t="s">
        <v>635</v>
      </c>
      <c r="O73" s="249">
        <v>14.676047310277387</v>
      </c>
      <c r="P73" s="250">
        <v>433958.11343000003</v>
      </c>
    </row>
    <row r="74" spans="1:16">
      <c r="A74" s="208">
        <v>36749</v>
      </c>
      <c r="B74" s="208">
        <v>36560</v>
      </c>
      <c r="C74" s="208" t="s">
        <v>497</v>
      </c>
      <c r="D74" s="209">
        <v>19.649999999999999</v>
      </c>
      <c r="F74" s="224"/>
      <c r="G74" s="235"/>
      <c r="H74" s="231" t="s">
        <v>520</v>
      </c>
      <c r="I74" s="227" t="s">
        <v>519</v>
      </c>
      <c r="J74" s="232" t="s">
        <v>547</v>
      </c>
      <c r="K74" s="229">
        <v>12.38</v>
      </c>
      <c r="L74" s="230">
        <v>12.5</v>
      </c>
      <c r="N74" s="248" t="s">
        <v>636</v>
      </c>
      <c r="O74" s="249">
        <v>15.244369102046742</v>
      </c>
      <c r="P74" s="250">
        <v>838582.21575000009</v>
      </c>
    </row>
    <row r="75" spans="1:16">
      <c r="A75" s="208">
        <v>36763</v>
      </c>
      <c r="B75" s="208">
        <v>36560</v>
      </c>
      <c r="C75" s="208" t="s">
        <v>496</v>
      </c>
      <c r="D75" s="209">
        <v>19.68</v>
      </c>
      <c r="F75" s="224"/>
      <c r="G75" s="235"/>
      <c r="H75" s="231" t="s">
        <v>522</v>
      </c>
      <c r="I75" s="227" t="s">
        <v>519</v>
      </c>
      <c r="J75" s="232" t="s">
        <v>555</v>
      </c>
      <c r="K75" s="229">
        <v>12.43</v>
      </c>
      <c r="L75" s="230">
        <v>12.52</v>
      </c>
      <c r="N75" s="248" t="s">
        <v>637</v>
      </c>
      <c r="O75" s="249">
        <v>14.95042380421655</v>
      </c>
      <c r="P75" s="250">
        <v>673476.52821000002</v>
      </c>
    </row>
    <row r="76" spans="1:16">
      <c r="A76" s="208">
        <v>36763</v>
      </c>
      <c r="B76" s="208">
        <v>36560</v>
      </c>
      <c r="C76" s="208" t="s">
        <v>497</v>
      </c>
      <c r="D76" s="209">
        <v>19.68</v>
      </c>
      <c r="F76" s="224"/>
      <c r="G76" s="235"/>
      <c r="H76" s="231" t="s">
        <v>523</v>
      </c>
      <c r="I76" s="227" t="s">
        <v>519</v>
      </c>
      <c r="J76" s="232" t="s">
        <v>557</v>
      </c>
      <c r="K76" s="229">
        <v>12.47</v>
      </c>
      <c r="L76" s="230">
        <v>12.28</v>
      </c>
      <c r="N76" s="248" t="s">
        <v>638</v>
      </c>
      <c r="O76" s="249">
        <v>15.209891658060078</v>
      </c>
      <c r="P76" s="250">
        <v>695683.56958000013</v>
      </c>
    </row>
    <row r="77" spans="1:16">
      <c r="A77" s="208">
        <v>36770</v>
      </c>
      <c r="B77" s="208">
        <v>36560</v>
      </c>
      <c r="C77" s="208" t="s">
        <v>496</v>
      </c>
      <c r="D77" s="209">
        <v>19.600000000000001</v>
      </c>
      <c r="F77" s="224"/>
      <c r="G77" s="235" t="s">
        <v>544</v>
      </c>
      <c r="H77" s="231" t="s">
        <v>527</v>
      </c>
      <c r="I77" s="227" t="s">
        <v>519</v>
      </c>
      <c r="J77" s="232" t="s">
        <v>528</v>
      </c>
      <c r="K77" s="229">
        <v>12.47</v>
      </c>
      <c r="L77" s="230">
        <v>13.06</v>
      </c>
      <c r="N77" s="248" t="s">
        <v>639</v>
      </c>
      <c r="O77" s="249">
        <v>15.332513738558323</v>
      </c>
      <c r="P77" s="250">
        <v>883092.59252999944</v>
      </c>
    </row>
    <row r="78" spans="1:16">
      <c r="A78" s="208">
        <v>36770</v>
      </c>
      <c r="B78" s="208">
        <v>36560</v>
      </c>
      <c r="C78" s="208" t="s">
        <v>497</v>
      </c>
      <c r="D78" s="209">
        <v>19.600000000000001</v>
      </c>
      <c r="F78" s="224"/>
      <c r="G78" s="235"/>
      <c r="H78" s="231" t="s">
        <v>529</v>
      </c>
      <c r="I78" s="227" t="s">
        <v>519</v>
      </c>
      <c r="J78" s="228" t="s">
        <v>530</v>
      </c>
      <c r="K78" s="229">
        <v>12.32</v>
      </c>
      <c r="L78" s="230">
        <v>12.21</v>
      </c>
      <c r="N78" s="248" t="s">
        <v>640</v>
      </c>
      <c r="O78" s="249">
        <v>14.705432695324413</v>
      </c>
      <c r="P78" s="250">
        <v>855687.33763000008</v>
      </c>
    </row>
    <row r="79" spans="1:16">
      <c r="A79" s="208">
        <v>36784</v>
      </c>
      <c r="B79" s="208">
        <v>36560</v>
      </c>
      <c r="C79" s="208" t="s">
        <v>496</v>
      </c>
      <c r="D79" s="209">
        <v>17.48</v>
      </c>
      <c r="F79" s="224"/>
      <c r="G79" s="235"/>
      <c r="H79" s="231" t="s">
        <v>531</v>
      </c>
      <c r="I79" s="227" t="s">
        <v>519</v>
      </c>
      <c r="J79" s="228" t="s">
        <v>532</v>
      </c>
      <c r="K79" s="229">
        <v>12.44</v>
      </c>
      <c r="L79" s="230">
        <v>12.66</v>
      </c>
      <c r="N79" s="248" t="s">
        <v>641</v>
      </c>
      <c r="O79" s="249">
        <v>16.266561035030886</v>
      </c>
      <c r="P79" s="250">
        <v>794994.0137100002</v>
      </c>
    </row>
    <row r="80" spans="1:16">
      <c r="A80" s="208">
        <v>36798</v>
      </c>
      <c r="B80" s="208">
        <v>36560</v>
      </c>
      <c r="C80" s="208" t="s">
        <v>496</v>
      </c>
      <c r="D80" s="209">
        <v>17.46</v>
      </c>
      <c r="F80" s="224"/>
      <c r="G80" s="235"/>
      <c r="H80" s="231" t="s">
        <v>533</v>
      </c>
      <c r="I80" s="227" t="s">
        <v>519</v>
      </c>
      <c r="J80" s="228" t="s">
        <v>534</v>
      </c>
      <c r="K80" s="229">
        <v>12.63</v>
      </c>
      <c r="L80" s="230">
        <v>13.02</v>
      </c>
      <c r="N80" s="248" t="s">
        <v>642</v>
      </c>
      <c r="O80" s="249">
        <v>16.071781472479532</v>
      </c>
      <c r="P80" s="250">
        <v>476980.31962999998</v>
      </c>
    </row>
    <row r="81" spans="1:16">
      <c r="A81" s="208">
        <v>36798</v>
      </c>
      <c r="B81" s="208">
        <v>36560</v>
      </c>
      <c r="C81" s="208" t="s">
        <v>497</v>
      </c>
      <c r="D81" s="209">
        <v>17.46</v>
      </c>
      <c r="F81" s="224"/>
      <c r="G81" s="235" t="s">
        <v>548</v>
      </c>
      <c r="H81" s="226" t="s">
        <v>536</v>
      </c>
      <c r="I81" s="227" t="s">
        <v>519</v>
      </c>
      <c r="J81" s="232" t="s">
        <v>518</v>
      </c>
      <c r="K81" s="229">
        <v>12.69</v>
      </c>
      <c r="L81" s="230">
        <v>12.81</v>
      </c>
      <c r="N81" s="248" t="s">
        <v>643</v>
      </c>
      <c r="O81" s="249">
        <v>15.967537976141539</v>
      </c>
      <c r="P81" s="250">
        <v>654059.84164999996</v>
      </c>
    </row>
    <row r="82" spans="1:16">
      <c r="A82" s="208">
        <v>36812</v>
      </c>
      <c r="B82" s="208">
        <v>36560</v>
      </c>
      <c r="C82" s="208" t="s">
        <v>496</v>
      </c>
      <c r="D82" s="209">
        <v>16.5</v>
      </c>
      <c r="F82" s="224"/>
      <c r="G82" s="235"/>
      <c r="H82" s="231" t="s">
        <v>538</v>
      </c>
      <c r="I82" s="227" t="s">
        <v>519</v>
      </c>
      <c r="J82" s="228" t="s">
        <v>521</v>
      </c>
      <c r="K82" s="229">
        <v>12.73</v>
      </c>
      <c r="L82" s="230">
        <v>12.51</v>
      </c>
      <c r="N82" s="248" t="s">
        <v>644</v>
      </c>
      <c r="O82" s="249">
        <v>17.084435582907268</v>
      </c>
      <c r="P82" s="250">
        <v>802425.85531999986</v>
      </c>
    </row>
    <row r="83" spans="1:16">
      <c r="A83" s="208">
        <v>36812</v>
      </c>
      <c r="B83" s="208">
        <v>36560</v>
      </c>
      <c r="C83" s="208" t="s">
        <v>497</v>
      </c>
      <c r="D83" s="209">
        <v>16.5</v>
      </c>
      <c r="F83" s="224"/>
      <c r="G83" s="235"/>
      <c r="H83" s="231" t="s">
        <v>539</v>
      </c>
      <c r="I83" s="227" t="s">
        <v>519</v>
      </c>
      <c r="J83" s="228" t="s">
        <v>540</v>
      </c>
      <c r="K83" s="229">
        <v>12.71</v>
      </c>
      <c r="L83" s="230">
        <v>13.05</v>
      </c>
      <c r="N83" s="248" t="s">
        <v>645</v>
      </c>
      <c r="O83" s="249">
        <v>16.872022852803656</v>
      </c>
      <c r="P83" s="250">
        <v>678454.26731999987</v>
      </c>
    </row>
    <row r="84" spans="1:16">
      <c r="A84" s="208">
        <v>36826</v>
      </c>
      <c r="B84" s="208">
        <v>36560</v>
      </c>
      <c r="C84" s="208" t="s">
        <v>496</v>
      </c>
      <c r="D84" s="209">
        <v>16.399999999999999</v>
      </c>
      <c r="F84" s="224"/>
      <c r="G84" s="235"/>
      <c r="H84" s="226" t="s">
        <v>541</v>
      </c>
      <c r="I84" s="227" t="s">
        <v>519</v>
      </c>
      <c r="J84" s="228" t="s">
        <v>524</v>
      </c>
      <c r="K84" s="229">
        <v>12.65</v>
      </c>
      <c r="L84" s="230">
        <v>13.74</v>
      </c>
      <c r="N84" s="248" t="s">
        <v>646</v>
      </c>
      <c r="O84" s="249">
        <v>17.411206659019044</v>
      </c>
      <c r="P84" s="250">
        <v>607396.73522999987</v>
      </c>
    </row>
    <row r="85" spans="1:16">
      <c r="A85" s="208">
        <v>36826</v>
      </c>
      <c r="B85" s="208">
        <v>36560</v>
      </c>
      <c r="C85" s="208" t="s">
        <v>497</v>
      </c>
      <c r="D85" s="209">
        <v>16.399999999999999</v>
      </c>
      <c r="F85" s="224"/>
      <c r="G85" s="235"/>
      <c r="H85" s="226" t="s">
        <v>542</v>
      </c>
      <c r="I85" s="227" t="s">
        <v>519</v>
      </c>
      <c r="J85" s="232" t="s">
        <v>543</v>
      </c>
      <c r="K85" s="229">
        <v>12.66</v>
      </c>
      <c r="L85" s="230">
        <v>12.83</v>
      </c>
      <c r="N85" s="248" t="s">
        <v>647</v>
      </c>
      <c r="O85" s="249">
        <v>16.844422194420343</v>
      </c>
      <c r="P85" s="250">
        <v>688113.42794000008</v>
      </c>
    </row>
    <row r="86" spans="1:16">
      <c r="A86" s="208">
        <v>36840</v>
      </c>
      <c r="B86" s="208">
        <v>36838</v>
      </c>
      <c r="C86" s="208" t="s">
        <v>496</v>
      </c>
      <c r="D86" s="209">
        <v>16.93</v>
      </c>
      <c r="F86" s="224"/>
      <c r="G86" s="235" t="s">
        <v>553</v>
      </c>
      <c r="H86" s="231" t="s">
        <v>545</v>
      </c>
      <c r="I86" s="227" t="s">
        <v>519</v>
      </c>
      <c r="J86" s="232" t="s">
        <v>546</v>
      </c>
      <c r="K86" s="229">
        <v>12.63</v>
      </c>
      <c r="L86" s="230">
        <v>13.35</v>
      </c>
      <c r="N86" s="248" t="s">
        <v>648</v>
      </c>
      <c r="O86" s="249">
        <v>16.659198732242569</v>
      </c>
      <c r="P86" s="250">
        <v>527242.06245000008</v>
      </c>
    </row>
    <row r="87" spans="1:16">
      <c r="A87" s="208">
        <v>36840</v>
      </c>
      <c r="B87" s="208">
        <v>36838</v>
      </c>
      <c r="C87" s="208" t="s">
        <v>497</v>
      </c>
      <c r="D87" s="209">
        <v>16.93</v>
      </c>
      <c r="F87" s="224"/>
      <c r="G87" s="235"/>
      <c r="H87" s="231" t="s">
        <v>520</v>
      </c>
      <c r="I87" s="227" t="s">
        <v>519</v>
      </c>
      <c r="J87" s="228" t="s">
        <v>547</v>
      </c>
      <c r="K87" s="229">
        <v>12.8</v>
      </c>
      <c r="L87" s="230">
        <v>13.36</v>
      </c>
      <c r="N87" s="248" t="s">
        <v>649</v>
      </c>
      <c r="O87" s="249">
        <v>16.85246639734418</v>
      </c>
      <c r="P87" s="250">
        <v>634025.54129999992</v>
      </c>
    </row>
    <row r="88" spans="1:16">
      <c r="A88" s="208">
        <v>36854</v>
      </c>
      <c r="B88" s="208">
        <v>36838</v>
      </c>
      <c r="C88" s="208" t="s">
        <v>496</v>
      </c>
      <c r="D88" s="209">
        <v>17.2</v>
      </c>
      <c r="F88" s="224"/>
      <c r="G88" s="235"/>
      <c r="H88" s="231" t="s">
        <v>522</v>
      </c>
      <c r="I88" s="227" t="s">
        <v>519</v>
      </c>
      <c r="J88" s="228" t="s">
        <v>555</v>
      </c>
      <c r="K88" s="229">
        <v>12.62</v>
      </c>
      <c r="L88" s="230">
        <v>14.19</v>
      </c>
      <c r="N88" s="248" t="s">
        <v>650</v>
      </c>
      <c r="O88" s="249">
        <v>16.444103691420899</v>
      </c>
      <c r="P88" s="250">
        <v>724971.94388000004</v>
      </c>
    </row>
    <row r="89" spans="1:16">
      <c r="A89" s="208">
        <v>36854</v>
      </c>
      <c r="B89" s="208">
        <v>36838</v>
      </c>
      <c r="C89" s="208" t="s">
        <v>497</v>
      </c>
      <c r="D89" s="209">
        <v>17.2</v>
      </c>
      <c r="F89" s="224"/>
      <c r="G89" s="235"/>
      <c r="H89" s="231" t="s">
        <v>523</v>
      </c>
      <c r="I89" s="227" t="s">
        <v>519</v>
      </c>
      <c r="J89" s="228" t="s">
        <v>557</v>
      </c>
      <c r="K89" s="229">
        <v>12.87</v>
      </c>
      <c r="L89" s="230">
        <v>13.7</v>
      </c>
      <c r="N89" s="248" t="s">
        <v>651</v>
      </c>
      <c r="O89" s="249">
        <v>15.608547096565141</v>
      </c>
      <c r="P89" s="250">
        <v>667303.82421999995</v>
      </c>
    </row>
    <row r="90" spans="1:16">
      <c r="A90" s="208">
        <v>36875</v>
      </c>
      <c r="B90" s="208">
        <v>36838</v>
      </c>
      <c r="C90" s="208" t="s">
        <v>496</v>
      </c>
      <c r="D90" s="209">
        <v>17</v>
      </c>
      <c r="F90" s="224"/>
      <c r="G90" s="235" t="s">
        <v>554</v>
      </c>
      <c r="H90" s="231" t="s">
        <v>525</v>
      </c>
      <c r="I90" s="227" t="s">
        <v>519</v>
      </c>
      <c r="J90" s="232" t="s">
        <v>549</v>
      </c>
      <c r="K90" s="229">
        <v>13.02</v>
      </c>
      <c r="L90" s="230">
        <v>14.23</v>
      </c>
      <c r="N90" s="248" t="s">
        <v>652</v>
      </c>
      <c r="O90" s="249">
        <v>15.851115207902799</v>
      </c>
      <c r="P90" s="250">
        <v>765841.69271000009</v>
      </c>
    </row>
    <row r="91" spans="1:16" ht="15.75" thickBot="1">
      <c r="A91" s="208">
        <v>36875</v>
      </c>
      <c r="B91" s="208">
        <v>36838</v>
      </c>
      <c r="C91" s="208" t="s">
        <v>497</v>
      </c>
      <c r="D91" s="209">
        <v>17</v>
      </c>
      <c r="F91" s="224"/>
      <c r="G91" s="235"/>
      <c r="H91" s="226" t="s">
        <v>528</v>
      </c>
      <c r="I91" s="227" t="s">
        <v>519</v>
      </c>
      <c r="J91" s="228" t="s">
        <v>550</v>
      </c>
      <c r="K91" s="229">
        <v>12.91</v>
      </c>
      <c r="L91" s="230">
        <v>14</v>
      </c>
      <c r="N91" s="248" t="s">
        <v>653</v>
      </c>
      <c r="O91" s="249">
        <v>17.247275066255281</v>
      </c>
      <c r="P91" s="250">
        <v>688179.88347000023</v>
      </c>
    </row>
    <row r="92" spans="1:16" ht="15.75" thickBot="1">
      <c r="A92" s="643" t="s">
        <v>495</v>
      </c>
      <c r="B92" s="644"/>
      <c r="C92" s="645"/>
      <c r="D92" s="212">
        <f>AVERAGE(D39:D91)</f>
        <v>17.595849056603772</v>
      </c>
      <c r="F92" s="224"/>
      <c r="G92" s="235"/>
      <c r="H92" s="226" t="s">
        <v>530</v>
      </c>
      <c r="I92" s="227" t="s">
        <v>519</v>
      </c>
      <c r="J92" s="228" t="s">
        <v>551</v>
      </c>
      <c r="K92" s="229">
        <v>13.16</v>
      </c>
      <c r="L92" s="230">
        <v>13.39</v>
      </c>
      <c r="N92" s="248" t="s">
        <v>654</v>
      </c>
      <c r="O92" s="249">
        <v>18.018590944492281</v>
      </c>
      <c r="P92" s="250">
        <v>897381.53370999999</v>
      </c>
    </row>
    <row r="93" spans="1:16">
      <c r="A93" s="208">
        <v>37127</v>
      </c>
      <c r="B93" s="208">
        <v>37125</v>
      </c>
      <c r="C93" s="208" t="s">
        <v>498</v>
      </c>
      <c r="D93" s="209">
        <v>14.88</v>
      </c>
      <c r="F93" s="224"/>
      <c r="G93" s="235"/>
      <c r="H93" s="226" t="s">
        <v>532</v>
      </c>
      <c r="I93" s="227" t="s">
        <v>519</v>
      </c>
      <c r="J93" s="228" t="s">
        <v>552</v>
      </c>
      <c r="K93" s="229">
        <v>13.23</v>
      </c>
      <c r="L93" s="230">
        <v>13.88</v>
      </c>
      <c r="N93" s="248" t="s">
        <v>655</v>
      </c>
      <c r="O93" s="249">
        <v>18.341710889634861</v>
      </c>
      <c r="P93" s="250">
        <v>672627.2790199999</v>
      </c>
    </row>
    <row r="94" spans="1:16">
      <c r="A94" s="208">
        <v>37127</v>
      </c>
      <c r="B94" s="208">
        <v>37125</v>
      </c>
      <c r="C94" s="208" t="s">
        <v>499</v>
      </c>
      <c r="D94" s="209">
        <v>14.88</v>
      </c>
      <c r="F94" s="224"/>
      <c r="G94" s="235"/>
      <c r="H94" s="236" t="s">
        <v>534</v>
      </c>
      <c r="I94" s="237" t="s">
        <v>519</v>
      </c>
      <c r="J94" s="228" t="s">
        <v>545</v>
      </c>
      <c r="K94" s="229">
        <v>13.02</v>
      </c>
      <c r="L94" s="230">
        <v>13.8</v>
      </c>
      <c r="N94" s="248" t="s">
        <v>656</v>
      </c>
      <c r="O94" s="249">
        <v>16.753604587186601</v>
      </c>
      <c r="P94" s="250">
        <v>769644.5633800003</v>
      </c>
    </row>
    <row r="95" spans="1:16">
      <c r="A95" s="208">
        <v>37162</v>
      </c>
      <c r="B95" s="208">
        <v>37125</v>
      </c>
      <c r="C95" s="208" t="s">
        <v>498</v>
      </c>
      <c r="D95" s="209">
        <v>14.9</v>
      </c>
      <c r="F95" s="224"/>
      <c r="G95" s="235" t="s">
        <v>556</v>
      </c>
      <c r="H95" s="236" t="s">
        <v>518</v>
      </c>
      <c r="I95" s="237" t="s">
        <v>519</v>
      </c>
      <c r="J95" s="228" t="s">
        <v>520</v>
      </c>
      <c r="K95" s="229">
        <v>12.96</v>
      </c>
      <c r="L95" s="230">
        <v>13.83</v>
      </c>
      <c r="N95" s="248" t="s">
        <v>657</v>
      </c>
      <c r="O95" s="249">
        <v>17.268410999266912</v>
      </c>
      <c r="P95" s="250">
        <v>688224.49778000033</v>
      </c>
    </row>
    <row r="96" spans="1:16">
      <c r="A96" s="208">
        <v>37162</v>
      </c>
      <c r="B96" s="208">
        <v>37125</v>
      </c>
      <c r="C96" s="208" t="s">
        <v>499</v>
      </c>
      <c r="D96" s="209">
        <v>14.9</v>
      </c>
      <c r="F96" s="224"/>
      <c r="G96" s="235"/>
      <c r="H96" s="236" t="s">
        <v>521</v>
      </c>
      <c r="I96" s="237" t="s">
        <v>519</v>
      </c>
      <c r="J96" s="228" t="s">
        <v>522</v>
      </c>
      <c r="K96" s="229">
        <v>13.32</v>
      </c>
      <c r="L96" s="230">
        <v>14.95</v>
      </c>
      <c r="N96" s="248" t="s">
        <v>658</v>
      </c>
      <c r="O96" s="249">
        <v>17.122541304829173</v>
      </c>
      <c r="P96" s="250">
        <v>854413.3181400001</v>
      </c>
    </row>
    <row r="97" spans="1:16">
      <c r="A97" s="208">
        <v>37176</v>
      </c>
      <c r="B97" s="208">
        <v>37125</v>
      </c>
      <c r="C97" s="208" t="s">
        <v>498</v>
      </c>
      <c r="D97" s="209">
        <v>14.87</v>
      </c>
      <c r="F97" s="224"/>
      <c r="G97" s="235"/>
      <c r="H97" s="236" t="s">
        <v>540</v>
      </c>
      <c r="I97" s="237" t="s">
        <v>519</v>
      </c>
      <c r="J97" s="228" t="s">
        <v>523</v>
      </c>
      <c r="K97" s="229">
        <v>13.3</v>
      </c>
      <c r="L97" s="230">
        <v>15.02</v>
      </c>
      <c r="N97" s="248" t="s">
        <v>659</v>
      </c>
      <c r="O97" s="249">
        <v>17.011789330496825</v>
      </c>
      <c r="P97" s="250">
        <v>757206.43273999996</v>
      </c>
    </row>
    <row r="98" spans="1:16">
      <c r="A98" s="208">
        <v>37176</v>
      </c>
      <c r="B98" s="208">
        <v>37125</v>
      </c>
      <c r="C98" s="208" t="s">
        <v>499</v>
      </c>
      <c r="D98" s="209">
        <v>14.87</v>
      </c>
      <c r="F98" s="224"/>
      <c r="G98" s="235"/>
      <c r="H98" s="236" t="s">
        <v>524</v>
      </c>
      <c r="I98" s="237" t="s">
        <v>519</v>
      </c>
      <c r="J98" s="228" t="s">
        <v>527</v>
      </c>
      <c r="K98" s="229">
        <v>13.3</v>
      </c>
      <c r="L98" s="230">
        <v>14.6</v>
      </c>
      <c r="N98" s="248" t="s">
        <v>660</v>
      </c>
      <c r="O98" s="249">
        <v>17.30289489979555</v>
      </c>
      <c r="P98" s="250">
        <v>682467.66701000021</v>
      </c>
    </row>
    <row r="99" spans="1:16">
      <c r="A99" s="208">
        <v>37190</v>
      </c>
      <c r="B99" s="208">
        <v>37125</v>
      </c>
      <c r="C99" s="208" t="s">
        <v>498</v>
      </c>
      <c r="D99" s="209">
        <v>14.78</v>
      </c>
      <c r="F99" s="224"/>
      <c r="G99" s="235" t="s">
        <v>558</v>
      </c>
      <c r="H99" s="236" t="s">
        <v>543</v>
      </c>
      <c r="I99" s="237" t="s">
        <v>519</v>
      </c>
      <c r="J99" s="228" t="s">
        <v>529</v>
      </c>
      <c r="K99" s="229">
        <v>13.37</v>
      </c>
      <c r="L99" s="230">
        <v>15.09</v>
      </c>
      <c r="N99" s="248" t="s">
        <v>661</v>
      </c>
      <c r="O99" s="249">
        <v>16.71298008747172</v>
      </c>
      <c r="P99" s="250">
        <v>684103.36453000002</v>
      </c>
    </row>
    <row r="100" spans="1:16">
      <c r="A100" s="208">
        <v>37190</v>
      </c>
      <c r="B100" s="208">
        <v>37125</v>
      </c>
      <c r="C100" s="208" t="s">
        <v>499</v>
      </c>
      <c r="D100" s="209">
        <v>14.78</v>
      </c>
      <c r="F100" s="224"/>
      <c r="G100" s="235"/>
      <c r="H100" s="236" t="s">
        <v>546</v>
      </c>
      <c r="I100" s="237" t="s">
        <v>519</v>
      </c>
      <c r="J100" s="228" t="s">
        <v>531</v>
      </c>
      <c r="K100" s="229">
        <v>13.54</v>
      </c>
      <c r="L100" s="230">
        <v>15.18</v>
      </c>
      <c r="N100" s="248" t="s">
        <v>662</v>
      </c>
      <c r="O100" s="249">
        <v>18.157665295573359</v>
      </c>
      <c r="P100" s="250">
        <v>649238.80761999986</v>
      </c>
    </row>
    <row r="101" spans="1:16">
      <c r="A101" s="208">
        <v>37211</v>
      </c>
      <c r="B101" s="208">
        <v>37125</v>
      </c>
      <c r="C101" s="208" t="s">
        <v>498</v>
      </c>
      <c r="D101" s="209">
        <v>14.5</v>
      </c>
      <c r="F101" s="224"/>
      <c r="G101" s="235"/>
      <c r="H101" s="236" t="s">
        <v>547</v>
      </c>
      <c r="I101" s="237" t="s">
        <v>519</v>
      </c>
      <c r="J101" s="228" t="s">
        <v>533</v>
      </c>
      <c r="K101" s="229">
        <v>13.6</v>
      </c>
      <c r="L101" s="230">
        <v>14.16</v>
      </c>
      <c r="N101" s="248" t="s">
        <v>663</v>
      </c>
      <c r="O101" s="249">
        <v>17.92873605985589</v>
      </c>
      <c r="P101" s="250">
        <v>704127.22450000024</v>
      </c>
    </row>
    <row r="102" spans="1:16">
      <c r="A102" s="208">
        <v>37211</v>
      </c>
      <c r="B102" s="208">
        <v>37125</v>
      </c>
      <c r="C102" s="208" t="s">
        <v>499</v>
      </c>
      <c r="D102" s="209">
        <v>14.5</v>
      </c>
      <c r="F102" s="224"/>
      <c r="G102" s="235"/>
      <c r="H102" s="236" t="s">
        <v>555</v>
      </c>
      <c r="I102" s="237" t="s">
        <v>519</v>
      </c>
      <c r="J102" s="228" t="s">
        <v>536</v>
      </c>
      <c r="K102" s="229">
        <v>13.63</v>
      </c>
      <c r="L102" s="230">
        <v>14.55</v>
      </c>
      <c r="N102" s="248" t="s">
        <v>664</v>
      </c>
      <c r="O102" s="249">
        <v>17.709213363416914</v>
      </c>
      <c r="P102" s="250">
        <v>610824.45620999997</v>
      </c>
    </row>
    <row r="103" spans="1:16">
      <c r="A103" s="208">
        <v>37225</v>
      </c>
      <c r="B103" s="208">
        <v>37125</v>
      </c>
      <c r="C103" s="208" t="s">
        <v>498</v>
      </c>
      <c r="D103" s="209">
        <v>14.2</v>
      </c>
      <c r="F103" s="224"/>
      <c r="G103" s="235" t="s">
        <v>559</v>
      </c>
      <c r="H103" s="236" t="s">
        <v>557</v>
      </c>
      <c r="I103" s="237" t="s">
        <v>519</v>
      </c>
      <c r="J103" s="228" t="s">
        <v>538</v>
      </c>
      <c r="K103" s="229">
        <v>13.42</v>
      </c>
      <c r="L103" s="230">
        <v>14.08</v>
      </c>
      <c r="N103" s="248" t="s">
        <v>665</v>
      </c>
      <c r="O103" s="249">
        <v>17.414875251260526</v>
      </c>
      <c r="P103" s="250">
        <v>625262.56361000019</v>
      </c>
    </row>
    <row r="104" spans="1:16">
      <c r="A104" s="208">
        <v>37225</v>
      </c>
      <c r="B104" s="208">
        <v>37125</v>
      </c>
      <c r="C104" s="208" t="s">
        <v>499</v>
      </c>
      <c r="D104" s="209">
        <v>14.2</v>
      </c>
      <c r="F104" s="224"/>
      <c r="G104" s="235"/>
      <c r="H104" s="236" t="s">
        <v>549</v>
      </c>
      <c r="I104" s="237" t="s">
        <v>519</v>
      </c>
      <c r="J104" s="228" t="s">
        <v>539</v>
      </c>
      <c r="K104" s="229">
        <v>13.36</v>
      </c>
      <c r="L104" s="230">
        <v>14.44</v>
      </c>
      <c r="N104" s="248" t="s">
        <v>666</v>
      </c>
      <c r="O104" s="249">
        <v>18.654022827812256</v>
      </c>
      <c r="P104" s="250">
        <v>570782.5854000001</v>
      </c>
    </row>
    <row r="105" spans="1:16">
      <c r="A105" s="208">
        <v>37239</v>
      </c>
      <c r="B105" s="208">
        <v>37125</v>
      </c>
      <c r="C105" s="208" t="s">
        <v>498</v>
      </c>
      <c r="D105" s="209">
        <v>14.19</v>
      </c>
      <c r="F105" s="224"/>
      <c r="G105" s="235"/>
      <c r="H105" s="236" t="s">
        <v>550</v>
      </c>
      <c r="I105" s="237" t="s">
        <v>519</v>
      </c>
      <c r="J105" s="228" t="s">
        <v>541</v>
      </c>
      <c r="K105" s="229">
        <v>13.39</v>
      </c>
      <c r="L105" s="230">
        <v>14.87</v>
      </c>
      <c r="N105" s="248" t="s">
        <v>667</v>
      </c>
      <c r="O105" s="249">
        <v>18.886948506620076</v>
      </c>
      <c r="P105" s="250">
        <v>826393.40799000021</v>
      </c>
    </row>
    <row r="106" spans="1:16" ht="15.75" thickBot="1">
      <c r="A106" s="208">
        <v>37239</v>
      </c>
      <c r="B106" s="208">
        <v>37125</v>
      </c>
      <c r="C106" s="208" t="s">
        <v>499</v>
      </c>
      <c r="D106" s="209">
        <v>14.19</v>
      </c>
      <c r="F106" s="224"/>
      <c r="G106" s="235"/>
      <c r="H106" s="236" t="s">
        <v>551</v>
      </c>
      <c r="I106" s="237" t="s">
        <v>519</v>
      </c>
      <c r="J106" s="228" t="s">
        <v>542</v>
      </c>
      <c r="K106" s="229">
        <v>13.76</v>
      </c>
      <c r="L106" s="230">
        <v>14.61</v>
      </c>
      <c r="N106" s="248" t="s">
        <v>668</v>
      </c>
      <c r="O106" s="249">
        <v>17.969118653449172</v>
      </c>
      <c r="P106" s="250">
        <v>610589.03286999965</v>
      </c>
    </row>
    <row r="107" spans="1:16" ht="15.75" thickBot="1">
      <c r="A107" s="643" t="s">
        <v>495</v>
      </c>
      <c r="B107" s="644"/>
      <c r="C107" s="645"/>
      <c r="D107" s="212">
        <f>AVERAGE(D93:D106)</f>
        <v>14.617142857142856</v>
      </c>
      <c r="F107" s="224"/>
      <c r="G107" s="235" t="s">
        <v>560</v>
      </c>
      <c r="H107" s="236" t="s">
        <v>552</v>
      </c>
      <c r="I107" s="237" t="s">
        <v>519</v>
      </c>
      <c r="J107" s="228" t="s">
        <v>545</v>
      </c>
      <c r="K107" s="229">
        <v>13.65</v>
      </c>
      <c r="L107" s="230">
        <v>14.41</v>
      </c>
      <c r="N107" s="248" t="s">
        <v>669</v>
      </c>
      <c r="O107" s="249">
        <v>18.686999518327852</v>
      </c>
      <c r="P107" s="250">
        <v>727159.37545999989</v>
      </c>
    </row>
    <row r="108" spans="1:16">
      <c r="A108" s="208">
        <v>37302</v>
      </c>
      <c r="B108" s="208">
        <v>37281</v>
      </c>
      <c r="C108" s="208" t="s">
        <v>500</v>
      </c>
      <c r="D108" s="209">
        <v>14.44</v>
      </c>
      <c r="F108" s="224"/>
      <c r="G108" s="235"/>
      <c r="H108" s="236" t="s">
        <v>518</v>
      </c>
      <c r="I108" s="237" t="s">
        <v>519</v>
      </c>
      <c r="J108" s="228" t="s">
        <v>520</v>
      </c>
      <c r="K108" s="229">
        <v>13.67</v>
      </c>
      <c r="L108" s="230">
        <v>14.89</v>
      </c>
      <c r="N108" s="248" t="s">
        <v>670</v>
      </c>
      <c r="O108" s="249">
        <v>18.55382131905964</v>
      </c>
      <c r="P108" s="250">
        <v>890770.49806000001</v>
      </c>
    </row>
    <row r="109" spans="1:16" ht="15.75" thickBot="1">
      <c r="A109" s="208">
        <v>37302</v>
      </c>
      <c r="B109" s="208">
        <v>37281</v>
      </c>
      <c r="C109" s="208" t="s">
        <v>501</v>
      </c>
      <c r="D109" s="209">
        <v>14.44</v>
      </c>
      <c r="F109" s="224"/>
      <c r="G109" s="235"/>
      <c r="H109" s="236" t="s">
        <v>521</v>
      </c>
      <c r="I109" s="237" t="s">
        <v>519</v>
      </c>
      <c r="J109" s="228" t="s">
        <v>522</v>
      </c>
      <c r="K109" s="229">
        <v>13.99</v>
      </c>
      <c r="L109" s="230">
        <v>14.66</v>
      </c>
      <c r="N109" s="248" t="s">
        <v>671</v>
      </c>
      <c r="O109" s="249">
        <v>19.791276278107308</v>
      </c>
      <c r="P109" s="250">
        <v>887339.6649300002</v>
      </c>
    </row>
    <row r="110" spans="1:16" ht="16.5" thickBot="1">
      <c r="A110" s="208">
        <v>37316</v>
      </c>
      <c r="B110" s="208">
        <v>37281</v>
      </c>
      <c r="C110" s="208" t="s">
        <v>500</v>
      </c>
      <c r="D110" s="209">
        <v>15.53</v>
      </c>
      <c r="F110" s="224"/>
      <c r="G110" s="235"/>
      <c r="H110" s="236" t="s">
        <v>540</v>
      </c>
      <c r="I110" s="237" t="s">
        <v>519</v>
      </c>
      <c r="J110" s="228" t="s">
        <v>523</v>
      </c>
      <c r="K110" s="229">
        <v>14.21</v>
      </c>
      <c r="L110" s="230">
        <v>14.58</v>
      </c>
      <c r="N110" s="251" t="s">
        <v>561</v>
      </c>
      <c r="O110" s="252">
        <f>AVERAGE(O58:O109)</f>
        <v>16.652093137823361</v>
      </c>
      <c r="P110" s="250"/>
    </row>
    <row r="111" spans="1:16" ht="15.75" thickBot="1">
      <c r="A111" s="208">
        <v>37316</v>
      </c>
      <c r="B111" s="208">
        <v>37281</v>
      </c>
      <c r="C111" s="208" t="s">
        <v>501</v>
      </c>
      <c r="D111" s="209">
        <v>15.53</v>
      </c>
      <c r="F111" s="224"/>
      <c r="G111" s="235"/>
      <c r="H111" s="236" t="s">
        <v>524</v>
      </c>
      <c r="I111" s="237" t="s">
        <v>519</v>
      </c>
      <c r="J111" s="228" t="s">
        <v>525</v>
      </c>
      <c r="K111" s="229">
        <v>14.3</v>
      </c>
      <c r="L111" s="230">
        <v>14.51</v>
      </c>
      <c r="N111" s="248" t="s">
        <v>672</v>
      </c>
      <c r="O111" s="249">
        <v>19.758526756293367</v>
      </c>
      <c r="P111" s="250">
        <v>430460.03423999995</v>
      </c>
    </row>
    <row r="112" spans="1:16" ht="15.75" thickBot="1">
      <c r="A112" s="208">
        <v>37330</v>
      </c>
      <c r="B112" s="208">
        <v>37281</v>
      </c>
      <c r="C112" s="208" t="s">
        <v>500</v>
      </c>
      <c r="D112" s="209">
        <v>14.6</v>
      </c>
      <c r="F112" s="640" t="s">
        <v>561</v>
      </c>
      <c r="G112" s="641"/>
      <c r="H112" s="641"/>
      <c r="I112" s="641"/>
      <c r="J112" s="641"/>
      <c r="K112" s="642"/>
      <c r="L112" s="234">
        <f>+AVERAGE(L60:L111)</f>
        <v>13.644423076923077</v>
      </c>
      <c r="N112" s="248" t="s">
        <v>673</v>
      </c>
      <c r="O112" s="249">
        <v>17.863427484974398</v>
      </c>
      <c r="P112" s="250">
        <v>528724.10094999976</v>
      </c>
    </row>
    <row r="113" spans="1:16">
      <c r="A113" s="208">
        <v>37330</v>
      </c>
      <c r="B113" s="208">
        <v>37281</v>
      </c>
      <c r="C113" s="208" t="s">
        <v>501</v>
      </c>
      <c r="D113" s="209">
        <v>14.6</v>
      </c>
      <c r="F113" s="224">
        <v>2001</v>
      </c>
      <c r="G113" s="235" t="s">
        <v>517</v>
      </c>
      <c r="H113" s="236" t="s">
        <v>527</v>
      </c>
      <c r="I113" s="237" t="s">
        <v>519</v>
      </c>
      <c r="J113" s="228" t="s">
        <v>528</v>
      </c>
      <c r="K113" s="229">
        <v>13.83</v>
      </c>
      <c r="L113" s="230">
        <v>14.71</v>
      </c>
      <c r="N113" s="248" t="s">
        <v>674</v>
      </c>
      <c r="O113" s="249">
        <v>17.916457659339613</v>
      </c>
      <c r="P113" s="250">
        <v>690381.52361999976</v>
      </c>
    </row>
    <row r="114" spans="1:16">
      <c r="A114" s="208">
        <v>37358</v>
      </c>
      <c r="B114" s="208">
        <v>37281</v>
      </c>
      <c r="C114" s="208" t="s">
        <v>500</v>
      </c>
      <c r="D114" s="209">
        <v>14.8</v>
      </c>
      <c r="F114" s="224"/>
      <c r="G114" s="235"/>
      <c r="H114" s="236" t="s">
        <v>529</v>
      </c>
      <c r="I114" s="237" t="s">
        <v>519</v>
      </c>
      <c r="J114" s="228" t="s">
        <v>530</v>
      </c>
      <c r="K114" s="229">
        <v>13.95</v>
      </c>
      <c r="L114" s="230">
        <v>14.14</v>
      </c>
      <c r="N114" s="248" t="s">
        <v>675</v>
      </c>
      <c r="O114" s="249">
        <v>17.782996328552009</v>
      </c>
      <c r="P114" s="250">
        <v>693880.79641999991</v>
      </c>
    </row>
    <row r="115" spans="1:16">
      <c r="A115" s="208">
        <v>37358</v>
      </c>
      <c r="B115" s="208">
        <v>37281</v>
      </c>
      <c r="C115" s="208" t="s">
        <v>501</v>
      </c>
      <c r="D115" s="209">
        <v>14.8</v>
      </c>
      <c r="F115" s="224"/>
      <c r="G115" s="235"/>
      <c r="H115" s="236" t="s">
        <v>531</v>
      </c>
      <c r="I115" s="237" t="s">
        <v>519</v>
      </c>
      <c r="J115" s="228" t="s">
        <v>532</v>
      </c>
      <c r="K115" s="229">
        <v>13.5</v>
      </c>
      <c r="L115" s="230">
        <v>15.1</v>
      </c>
      <c r="N115" s="248" t="s">
        <v>676</v>
      </c>
      <c r="O115" s="249">
        <v>18.075050371000291</v>
      </c>
      <c r="P115" s="250">
        <v>818157.59695000004</v>
      </c>
    </row>
    <row r="116" spans="1:16">
      <c r="A116" s="208">
        <v>37372</v>
      </c>
      <c r="B116" s="208">
        <v>37372</v>
      </c>
      <c r="C116" s="208" t="s">
        <v>500</v>
      </c>
      <c r="D116" s="209">
        <v>14.59</v>
      </c>
      <c r="F116" s="224"/>
      <c r="G116" s="235"/>
      <c r="H116" s="236" t="s">
        <v>533</v>
      </c>
      <c r="I116" s="237" t="s">
        <v>519</v>
      </c>
      <c r="J116" s="228" t="s">
        <v>534</v>
      </c>
      <c r="K116" s="229">
        <v>13.77</v>
      </c>
      <c r="L116" s="230">
        <v>15.47</v>
      </c>
      <c r="N116" s="248" t="s">
        <v>677</v>
      </c>
      <c r="O116" s="249">
        <v>18.034425556172099</v>
      </c>
      <c r="P116" s="250">
        <v>668503.88801999995</v>
      </c>
    </row>
    <row r="117" spans="1:16">
      <c r="A117" s="208">
        <v>37372</v>
      </c>
      <c r="B117" s="208">
        <v>37372</v>
      </c>
      <c r="C117" s="208" t="s">
        <v>501</v>
      </c>
      <c r="D117" s="209">
        <v>14.59</v>
      </c>
      <c r="F117" s="224"/>
      <c r="G117" s="235" t="s">
        <v>526</v>
      </c>
      <c r="H117" s="236" t="s">
        <v>536</v>
      </c>
      <c r="I117" s="237" t="s">
        <v>519</v>
      </c>
      <c r="J117" s="228" t="s">
        <v>518</v>
      </c>
      <c r="K117" s="229">
        <v>13.91</v>
      </c>
      <c r="L117" s="230">
        <v>15.11</v>
      </c>
      <c r="N117" s="248" t="s">
        <v>678</v>
      </c>
      <c r="O117" s="249">
        <v>18.295356158032419</v>
      </c>
      <c r="P117" s="250">
        <v>983598.40341000014</v>
      </c>
    </row>
    <row r="118" spans="1:16">
      <c r="A118" s="208">
        <v>37386</v>
      </c>
      <c r="B118" s="208">
        <v>37372</v>
      </c>
      <c r="C118" s="208" t="s">
        <v>500</v>
      </c>
      <c r="D118" s="209">
        <v>13.99</v>
      </c>
      <c r="F118" s="224"/>
      <c r="G118" s="235"/>
      <c r="H118" s="236" t="s">
        <v>538</v>
      </c>
      <c r="I118" s="237" t="s">
        <v>519</v>
      </c>
      <c r="J118" s="228" t="s">
        <v>521</v>
      </c>
      <c r="K118" s="229">
        <v>13.83</v>
      </c>
      <c r="L118" s="230">
        <v>14.73</v>
      </c>
      <c r="N118" s="248" t="s">
        <v>679</v>
      </c>
      <c r="O118" s="249">
        <v>20.57746027188999</v>
      </c>
      <c r="P118" s="250">
        <v>483541.02655999997</v>
      </c>
    </row>
    <row r="119" spans="1:16">
      <c r="A119" s="208">
        <v>37386</v>
      </c>
      <c r="B119" s="208">
        <v>37372</v>
      </c>
      <c r="C119" s="208" t="s">
        <v>501</v>
      </c>
      <c r="D119" s="209">
        <v>13.99</v>
      </c>
      <c r="F119" s="224"/>
      <c r="G119" s="235"/>
      <c r="H119" s="236" t="s">
        <v>539</v>
      </c>
      <c r="I119" s="237" t="s">
        <v>519</v>
      </c>
      <c r="J119" s="228" t="s">
        <v>540</v>
      </c>
      <c r="K119" s="229">
        <v>13.89</v>
      </c>
      <c r="L119" s="230">
        <v>15.11</v>
      </c>
      <c r="N119" s="248" t="s">
        <v>680</v>
      </c>
      <c r="O119" s="249">
        <v>19.168798120249789</v>
      </c>
      <c r="P119" s="250">
        <v>616525.54838999989</v>
      </c>
    </row>
    <row r="120" spans="1:16">
      <c r="A120" s="208">
        <v>37400</v>
      </c>
      <c r="B120" s="208">
        <v>37372</v>
      </c>
      <c r="C120" s="208" t="s">
        <v>500</v>
      </c>
      <c r="D120" s="209">
        <v>14</v>
      </c>
      <c r="F120" s="224"/>
      <c r="G120" s="235"/>
      <c r="H120" s="236" t="s">
        <v>541</v>
      </c>
      <c r="I120" s="237" t="s">
        <v>519</v>
      </c>
      <c r="J120" s="228" t="s">
        <v>524</v>
      </c>
      <c r="K120" s="229">
        <v>13.6</v>
      </c>
      <c r="L120" s="230">
        <v>14.62</v>
      </c>
      <c r="N120" s="248" t="s">
        <v>681</v>
      </c>
      <c r="O120" s="249">
        <v>19.08632830130119</v>
      </c>
      <c r="P120" s="250">
        <v>532973.44308999996</v>
      </c>
    </row>
    <row r="121" spans="1:16">
      <c r="A121" s="208">
        <v>37400</v>
      </c>
      <c r="B121" s="208">
        <v>37372</v>
      </c>
      <c r="C121" s="208" t="s">
        <v>501</v>
      </c>
      <c r="D121" s="209">
        <v>14</v>
      </c>
      <c r="F121" s="224"/>
      <c r="G121" s="235" t="s">
        <v>535</v>
      </c>
      <c r="H121" s="236" t="s">
        <v>542</v>
      </c>
      <c r="I121" s="237" t="s">
        <v>519</v>
      </c>
      <c r="J121" s="228" t="s">
        <v>518</v>
      </c>
      <c r="K121" s="229">
        <v>13.71</v>
      </c>
      <c r="L121" s="230">
        <v>14.63</v>
      </c>
      <c r="N121" s="248" t="s">
        <v>682</v>
      </c>
      <c r="O121" s="249">
        <v>18.293218862146457</v>
      </c>
      <c r="P121" s="250">
        <v>784288.99550000008</v>
      </c>
    </row>
    <row r="122" spans="1:16">
      <c r="A122" s="208">
        <v>37407</v>
      </c>
      <c r="B122" s="208">
        <v>37372</v>
      </c>
      <c r="C122" s="208" t="s">
        <v>500</v>
      </c>
      <c r="D122" s="209">
        <v>13.76</v>
      </c>
      <c r="F122" s="224"/>
      <c r="G122" s="235"/>
      <c r="H122" s="236" t="s">
        <v>538</v>
      </c>
      <c r="I122" s="237" t="s">
        <v>519</v>
      </c>
      <c r="J122" s="228" t="s">
        <v>521</v>
      </c>
      <c r="K122" s="229">
        <v>13.66</v>
      </c>
      <c r="L122" s="230">
        <v>14.23</v>
      </c>
      <c r="N122" s="248" t="s">
        <v>683</v>
      </c>
      <c r="O122" s="249">
        <v>18.420025277304941</v>
      </c>
      <c r="P122" s="250">
        <v>595018.34279000037</v>
      </c>
    </row>
    <row r="123" spans="1:16">
      <c r="A123" s="208">
        <v>37407</v>
      </c>
      <c r="B123" s="208">
        <v>37372</v>
      </c>
      <c r="C123" s="208" t="s">
        <v>501</v>
      </c>
      <c r="D123" s="209">
        <v>13.76</v>
      </c>
      <c r="F123" s="224"/>
      <c r="G123" s="235"/>
      <c r="H123" s="236" t="s">
        <v>539</v>
      </c>
      <c r="I123" s="237" t="s">
        <v>519</v>
      </c>
      <c r="J123" s="228" t="s">
        <v>540</v>
      </c>
      <c r="K123" s="229">
        <v>13.77</v>
      </c>
      <c r="L123" s="230">
        <v>15.15</v>
      </c>
      <c r="N123" s="248" t="s">
        <v>684</v>
      </c>
      <c r="O123" s="249">
        <v>20.253103331743702</v>
      </c>
      <c r="P123" s="250">
        <v>630365.43526999978</v>
      </c>
    </row>
    <row r="124" spans="1:16">
      <c r="A124" s="208">
        <v>37421</v>
      </c>
      <c r="B124" s="208">
        <v>37372</v>
      </c>
      <c r="C124" s="208" t="s">
        <v>500</v>
      </c>
      <c r="D124" s="209">
        <v>13.24</v>
      </c>
      <c r="F124" s="224"/>
      <c r="G124" s="235"/>
      <c r="H124" s="236" t="s">
        <v>541</v>
      </c>
      <c r="I124" s="237" t="s">
        <v>519</v>
      </c>
      <c r="J124" s="228" t="s">
        <v>524</v>
      </c>
      <c r="K124" s="229">
        <v>13.81</v>
      </c>
      <c r="L124" s="230">
        <v>14.6</v>
      </c>
      <c r="N124" s="248" t="s">
        <v>685</v>
      </c>
      <c r="O124" s="249">
        <v>18.98572003113409</v>
      </c>
      <c r="P124" s="250">
        <v>524053.87250999996</v>
      </c>
    </row>
    <row r="125" spans="1:16">
      <c r="A125" s="208">
        <v>37421</v>
      </c>
      <c r="B125" s="208">
        <v>37372</v>
      </c>
      <c r="C125" s="208" t="s">
        <v>501</v>
      </c>
      <c r="D125" s="209">
        <v>13.24</v>
      </c>
      <c r="F125" s="224"/>
      <c r="G125" s="235" t="s">
        <v>537</v>
      </c>
      <c r="H125" s="236" t="s">
        <v>542</v>
      </c>
      <c r="I125" s="237" t="s">
        <v>519</v>
      </c>
      <c r="J125" s="228" t="s">
        <v>527</v>
      </c>
      <c r="K125" s="229">
        <v>13.39</v>
      </c>
      <c r="L125" s="230">
        <v>14.23</v>
      </c>
      <c r="N125" s="248" t="s">
        <v>686</v>
      </c>
      <c r="O125" s="249">
        <v>19.78465453610082</v>
      </c>
      <c r="P125" s="250">
        <v>297313.72915000009</v>
      </c>
    </row>
    <row r="126" spans="1:16">
      <c r="A126" s="208">
        <v>37435</v>
      </c>
      <c r="B126" s="208">
        <v>37372</v>
      </c>
      <c r="C126" s="208" t="s">
        <v>500</v>
      </c>
      <c r="D126" s="209">
        <v>12.58</v>
      </c>
      <c r="F126" s="224"/>
      <c r="G126" s="235"/>
      <c r="H126" s="236" t="s">
        <v>543</v>
      </c>
      <c r="I126" s="237" t="s">
        <v>519</v>
      </c>
      <c r="J126" s="228" t="s">
        <v>529</v>
      </c>
      <c r="K126" s="229">
        <v>13.47</v>
      </c>
      <c r="L126" s="230">
        <v>14.08</v>
      </c>
      <c r="N126" s="248" t="s">
        <v>687</v>
      </c>
      <c r="O126" s="249">
        <v>18.602130644299795</v>
      </c>
      <c r="P126" s="250">
        <v>653598.11317999975</v>
      </c>
    </row>
    <row r="127" spans="1:16">
      <c r="A127" s="208">
        <v>37435</v>
      </c>
      <c r="B127" s="208">
        <v>37372</v>
      </c>
      <c r="C127" s="208" t="s">
        <v>501</v>
      </c>
      <c r="D127" s="209">
        <v>12.58</v>
      </c>
      <c r="F127" s="224"/>
      <c r="G127" s="235"/>
      <c r="H127" s="236" t="s">
        <v>546</v>
      </c>
      <c r="I127" s="237" t="s">
        <v>519</v>
      </c>
      <c r="J127" s="228" t="s">
        <v>531</v>
      </c>
      <c r="K127" s="229">
        <v>13.68</v>
      </c>
      <c r="L127" s="230">
        <v>14.01</v>
      </c>
      <c r="N127" s="248" t="s">
        <v>688</v>
      </c>
      <c r="O127" s="249">
        <v>19.227165119971911</v>
      </c>
      <c r="P127" s="250">
        <v>599211.58062000014</v>
      </c>
    </row>
    <row r="128" spans="1:16">
      <c r="A128" s="208">
        <v>37449</v>
      </c>
      <c r="B128" s="208">
        <v>37372</v>
      </c>
      <c r="C128" s="208" t="s">
        <v>500</v>
      </c>
      <c r="D128" s="209">
        <v>12.77</v>
      </c>
      <c r="F128" s="224"/>
      <c r="G128" s="235"/>
      <c r="H128" s="236" t="s">
        <v>547</v>
      </c>
      <c r="I128" s="237" t="s">
        <v>519</v>
      </c>
      <c r="J128" s="228" t="s">
        <v>533</v>
      </c>
      <c r="K128" s="229">
        <v>13.38</v>
      </c>
      <c r="L128" s="230">
        <v>14.01</v>
      </c>
      <c r="N128" s="248" t="s">
        <v>689</v>
      </c>
      <c r="O128" s="249">
        <v>19.046679087864366</v>
      </c>
      <c r="P128" s="250">
        <v>578461.73768999986</v>
      </c>
    </row>
    <row r="129" spans="1:16">
      <c r="A129" s="208">
        <v>37449</v>
      </c>
      <c r="B129" s="208">
        <v>37372</v>
      </c>
      <c r="C129" s="208" t="s">
        <v>501</v>
      </c>
      <c r="D129" s="209">
        <v>12.77</v>
      </c>
      <c r="F129" s="224"/>
      <c r="G129" s="235"/>
      <c r="H129" s="236" t="s">
        <v>555</v>
      </c>
      <c r="I129" s="237" t="s">
        <v>519</v>
      </c>
      <c r="J129" s="228" t="s">
        <v>536</v>
      </c>
      <c r="K129" s="229">
        <v>13.2</v>
      </c>
      <c r="L129" s="230">
        <v>14</v>
      </c>
      <c r="N129" s="248" t="s">
        <v>690</v>
      </c>
      <c r="O129" s="249">
        <v>19.103227144573079</v>
      </c>
      <c r="P129" s="250">
        <v>522926.25820999994</v>
      </c>
    </row>
    <row r="130" spans="1:16">
      <c r="A130" s="208">
        <v>37463</v>
      </c>
      <c r="B130" s="208">
        <v>37372</v>
      </c>
      <c r="C130" s="208" t="s">
        <v>500</v>
      </c>
      <c r="D130" s="209">
        <v>0</v>
      </c>
      <c r="F130" s="224"/>
      <c r="G130" s="235" t="s">
        <v>544</v>
      </c>
      <c r="H130" s="236" t="s">
        <v>557</v>
      </c>
      <c r="I130" s="237" t="s">
        <v>519</v>
      </c>
      <c r="J130" s="228" t="s">
        <v>549</v>
      </c>
      <c r="K130" s="229">
        <v>12.88</v>
      </c>
      <c r="L130" s="230">
        <v>13.93</v>
      </c>
      <c r="N130" s="248" t="s">
        <v>691</v>
      </c>
      <c r="O130" s="249">
        <v>17.740859542553185</v>
      </c>
      <c r="P130" s="250">
        <v>751787.14515999984</v>
      </c>
    </row>
    <row r="131" spans="1:16">
      <c r="A131" s="208">
        <v>37484</v>
      </c>
      <c r="B131" s="208">
        <v>37372</v>
      </c>
      <c r="C131" s="208" t="s">
        <v>500</v>
      </c>
      <c r="D131" s="209">
        <v>15.7</v>
      </c>
      <c r="F131" s="224"/>
      <c r="G131" s="235"/>
      <c r="H131" s="236" t="s">
        <v>528</v>
      </c>
      <c r="I131" s="237" t="s">
        <v>519</v>
      </c>
      <c r="J131" s="228" t="s">
        <v>550</v>
      </c>
      <c r="K131" s="229">
        <v>13.04</v>
      </c>
      <c r="L131" s="230">
        <v>14.85</v>
      </c>
      <c r="N131" s="248" t="s">
        <v>692</v>
      </c>
      <c r="O131" s="249">
        <v>18.385506579765707</v>
      </c>
      <c r="P131" s="250">
        <v>723705.80018000014</v>
      </c>
    </row>
    <row r="132" spans="1:16" ht="15.75" thickBot="1">
      <c r="A132" s="208">
        <v>37484</v>
      </c>
      <c r="B132" s="208">
        <v>37372</v>
      </c>
      <c r="C132" s="208" t="s">
        <v>501</v>
      </c>
      <c r="D132" s="209">
        <v>15.7</v>
      </c>
      <c r="F132" s="224"/>
      <c r="G132" s="235"/>
      <c r="H132" s="236" t="s">
        <v>530</v>
      </c>
      <c r="I132" s="237" t="s">
        <v>519</v>
      </c>
      <c r="J132" s="228" t="s">
        <v>551</v>
      </c>
      <c r="K132" s="229">
        <v>12.97</v>
      </c>
      <c r="L132" s="230">
        <v>13.65</v>
      </c>
      <c r="N132" s="248" t="s">
        <v>693</v>
      </c>
      <c r="O132" s="249">
        <v>19.451792537720102</v>
      </c>
      <c r="P132" s="250">
        <v>564847.09479000012</v>
      </c>
    </row>
    <row r="133" spans="1:16" ht="15.75" thickBot="1">
      <c r="A133" s="643" t="s">
        <v>495</v>
      </c>
      <c r="B133" s="644"/>
      <c r="C133" s="645"/>
      <c r="D133" s="212">
        <f>AVERAGE(D108:D132)</f>
        <v>13.599999999999996</v>
      </c>
      <c r="F133" s="224"/>
      <c r="G133" s="235"/>
      <c r="H133" s="236" t="s">
        <v>532</v>
      </c>
      <c r="I133" s="237" t="s">
        <v>519</v>
      </c>
      <c r="J133" s="228" t="s">
        <v>552</v>
      </c>
      <c r="K133" s="229">
        <v>12.97</v>
      </c>
      <c r="L133" s="230">
        <v>13.95</v>
      </c>
      <c r="N133" s="248" t="s">
        <v>694</v>
      </c>
      <c r="O133" s="249">
        <v>18.356893549336249</v>
      </c>
      <c r="P133" s="250">
        <v>766496.26765000017</v>
      </c>
    </row>
    <row r="134" spans="1:16">
      <c r="A134" s="208">
        <v>37746</v>
      </c>
      <c r="B134" s="208">
        <v>37372</v>
      </c>
      <c r="C134" s="208" t="s">
        <v>500</v>
      </c>
      <c r="D134" s="209">
        <v>15.5</v>
      </c>
      <c r="F134" s="224"/>
      <c r="G134" s="235" t="s">
        <v>548</v>
      </c>
      <c r="H134" s="238" t="s">
        <v>534</v>
      </c>
      <c r="I134" s="237" t="s">
        <v>519</v>
      </c>
      <c r="J134" s="228" t="s">
        <v>545</v>
      </c>
      <c r="K134" s="229">
        <v>13.21</v>
      </c>
      <c r="L134" s="230">
        <v>13.92</v>
      </c>
      <c r="N134" s="248" t="s">
        <v>695</v>
      </c>
      <c r="O134" s="253">
        <v>18.253187237038539</v>
      </c>
      <c r="P134" s="250">
        <v>809511.72539000027</v>
      </c>
    </row>
    <row r="135" spans="1:16">
      <c r="A135" s="208">
        <v>37746</v>
      </c>
      <c r="B135" s="208">
        <v>37372</v>
      </c>
      <c r="C135" s="208" t="s">
        <v>501</v>
      </c>
      <c r="D135" s="209">
        <v>15.5</v>
      </c>
      <c r="F135" s="224"/>
      <c r="G135" s="235"/>
      <c r="H135" s="236" t="s">
        <v>518</v>
      </c>
      <c r="I135" s="237" t="s">
        <v>519</v>
      </c>
      <c r="J135" s="228" t="s">
        <v>520</v>
      </c>
      <c r="K135" s="229">
        <v>13.2</v>
      </c>
      <c r="L135" s="230">
        <v>13.87</v>
      </c>
      <c r="N135" s="248" t="s">
        <v>696</v>
      </c>
      <c r="O135" s="253">
        <v>18.713377840360138</v>
      </c>
      <c r="P135" s="250">
        <v>636707.77985000017</v>
      </c>
    </row>
    <row r="136" spans="1:16">
      <c r="A136" s="208">
        <v>37746</v>
      </c>
      <c r="B136" s="208">
        <v>37372</v>
      </c>
      <c r="C136" s="208" t="s">
        <v>502</v>
      </c>
      <c r="D136" s="209">
        <v>15.5</v>
      </c>
      <c r="F136" s="224"/>
      <c r="G136" s="235"/>
      <c r="H136" s="236" t="s">
        <v>521</v>
      </c>
      <c r="I136" s="237" t="s">
        <v>519</v>
      </c>
      <c r="J136" s="228" t="s">
        <v>522</v>
      </c>
      <c r="K136" s="229">
        <v>13.24</v>
      </c>
      <c r="L136" s="230">
        <v>14.74</v>
      </c>
      <c r="N136" s="248" t="s">
        <v>697</v>
      </c>
      <c r="O136" s="253">
        <v>19.023708174578637</v>
      </c>
      <c r="P136" s="250">
        <v>832619.04951000051</v>
      </c>
    </row>
    <row r="137" spans="1:16">
      <c r="A137" s="208">
        <v>37757</v>
      </c>
      <c r="B137" s="208">
        <v>37372</v>
      </c>
      <c r="C137" s="208" t="s">
        <v>500</v>
      </c>
      <c r="D137" s="209">
        <v>14.8</v>
      </c>
      <c r="F137" s="224"/>
      <c r="G137" s="235"/>
      <c r="H137" s="236" t="s">
        <v>540</v>
      </c>
      <c r="I137" s="237" t="s">
        <v>519</v>
      </c>
      <c r="J137" s="228" t="s">
        <v>523</v>
      </c>
      <c r="K137" s="229">
        <v>13.16</v>
      </c>
      <c r="L137" s="230">
        <v>14.71</v>
      </c>
      <c r="N137" s="248" t="s">
        <v>698</v>
      </c>
      <c r="O137" s="253">
        <v>17.986691906802754</v>
      </c>
      <c r="P137" s="250">
        <v>647998.54516999994</v>
      </c>
    </row>
    <row r="138" spans="1:16">
      <c r="A138" s="208">
        <v>37757</v>
      </c>
      <c r="B138" s="208">
        <v>37372</v>
      </c>
      <c r="C138" s="208" t="s">
        <v>501</v>
      </c>
      <c r="D138" s="209">
        <v>14.8</v>
      </c>
      <c r="F138" s="224"/>
      <c r="G138" s="235" t="s">
        <v>553</v>
      </c>
      <c r="H138" s="236" t="s">
        <v>524</v>
      </c>
      <c r="I138" s="237" t="s">
        <v>519</v>
      </c>
      <c r="J138" s="228" t="s">
        <v>527</v>
      </c>
      <c r="K138" s="229">
        <v>13.09</v>
      </c>
      <c r="L138" s="230">
        <v>14.18</v>
      </c>
      <c r="N138" s="248" t="s">
        <v>699</v>
      </c>
      <c r="O138" s="253">
        <v>17.228049368113105</v>
      </c>
      <c r="P138" s="250">
        <v>883268.55900999997</v>
      </c>
    </row>
    <row r="139" spans="1:16">
      <c r="A139" s="208">
        <v>37757</v>
      </c>
      <c r="B139" s="208">
        <v>37372</v>
      </c>
      <c r="C139" s="208" t="s">
        <v>502</v>
      </c>
      <c r="D139" s="209">
        <v>14.8</v>
      </c>
      <c r="F139" s="224"/>
      <c r="G139" s="235"/>
      <c r="H139" s="236" t="s">
        <v>543</v>
      </c>
      <c r="I139" s="237" t="s">
        <v>519</v>
      </c>
      <c r="J139" s="228" t="s">
        <v>529</v>
      </c>
      <c r="K139" s="229">
        <v>12.94</v>
      </c>
      <c r="L139" s="230">
        <v>14.14</v>
      </c>
      <c r="N139" s="248" t="s">
        <v>700</v>
      </c>
      <c r="O139" s="253">
        <v>18.475100294747381</v>
      </c>
      <c r="P139" s="250">
        <v>607737.56592999992</v>
      </c>
    </row>
    <row r="140" spans="1:16">
      <c r="A140" s="208">
        <v>37799</v>
      </c>
      <c r="B140" s="208">
        <v>37372</v>
      </c>
      <c r="C140" s="208" t="s">
        <v>500</v>
      </c>
      <c r="D140" s="209">
        <v>14.58</v>
      </c>
      <c r="F140" s="224"/>
      <c r="G140" s="235"/>
      <c r="H140" s="236" t="s">
        <v>546</v>
      </c>
      <c r="I140" s="237" t="s">
        <v>519</v>
      </c>
      <c r="J140" s="228" t="s">
        <v>531</v>
      </c>
      <c r="K140" s="229">
        <v>13</v>
      </c>
      <c r="L140" s="230">
        <v>13.61</v>
      </c>
      <c r="N140" s="248" t="s">
        <v>701</v>
      </c>
      <c r="O140" s="253">
        <v>18.83854259240487</v>
      </c>
      <c r="P140" s="250">
        <v>708568.70661999995</v>
      </c>
    </row>
    <row r="141" spans="1:16">
      <c r="A141" s="208">
        <v>37799</v>
      </c>
      <c r="B141" s="208">
        <v>37372</v>
      </c>
      <c r="C141" s="208" t="s">
        <v>501</v>
      </c>
      <c r="D141" s="209">
        <v>14.58</v>
      </c>
      <c r="F141" s="224"/>
      <c r="G141" s="235"/>
      <c r="H141" s="236" t="s">
        <v>547</v>
      </c>
      <c r="I141" s="237" t="s">
        <v>519</v>
      </c>
      <c r="J141" s="228" t="s">
        <v>533</v>
      </c>
      <c r="K141" s="229">
        <v>12.98</v>
      </c>
      <c r="L141" s="230">
        <v>13.84</v>
      </c>
      <c r="N141" s="248" t="s">
        <v>702</v>
      </c>
      <c r="O141" s="253">
        <v>19.13321313788725</v>
      </c>
      <c r="P141" s="250">
        <v>677661.91387000028</v>
      </c>
    </row>
    <row r="142" spans="1:16">
      <c r="A142" s="208">
        <v>37799</v>
      </c>
      <c r="B142" s="208">
        <v>37372</v>
      </c>
      <c r="C142" s="208" t="s">
        <v>502</v>
      </c>
      <c r="D142" s="209">
        <v>14.58</v>
      </c>
      <c r="F142" s="224"/>
      <c r="G142" s="235"/>
      <c r="H142" s="236" t="s">
        <v>555</v>
      </c>
      <c r="I142" s="237" t="s">
        <v>519</v>
      </c>
      <c r="J142" s="228" t="s">
        <v>536</v>
      </c>
      <c r="K142" s="229">
        <v>13.04</v>
      </c>
      <c r="L142" s="230">
        <v>14.03</v>
      </c>
      <c r="N142" s="248" t="s">
        <v>703</v>
      </c>
      <c r="O142" s="253">
        <v>18.883844966797309</v>
      </c>
      <c r="P142" s="250">
        <v>513850.15839000011</v>
      </c>
    </row>
    <row r="143" spans="1:16">
      <c r="A143" s="208">
        <v>37862</v>
      </c>
      <c r="B143" s="208">
        <v>37372</v>
      </c>
      <c r="C143" s="208" t="s">
        <v>500</v>
      </c>
      <c r="D143" s="209">
        <v>14.8</v>
      </c>
      <c r="F143" s="224"/>
      <c r="G143" s="235" t="s">
        <v>554</v>
      </c>
      <c r="H143" s="236" t="s">
        <v>557</v>
      </c>
      <c r="I143" s="237" t="s">
        <v>519</v>
      </c>
      <c r="J143" s="228" t="s">
        <v>538</v>
      </c>
      <c r="K143" s="229">
        <v>13.01</v>
      </c>
      <c r="L143" s="230">
        <v>13.75</v>
      </c>
      <c r="N143" s="248" t="s">
        <v>704</v>
      </c>
      <c r="O143" s="253">
        <v>18.379592269974793</v>
      </c>
      <c r="P143" s="250">
        <v>682540.47800000012</v>
      </c>
    </row>
    <row r="144" spans="1:16">
      <c r="A144" s="208">
        <v>37862</v>
      </c>
      <c r="B144" s="208">
        <v>37372</v>
      </c>
      <c r="C144" s="208" t="s">
        <v>501</v>
      </c>
      <c r="D144" s="209">
        <v>14.8</v>
      </c>
      <c r="F144" s="224"/>
      <c r="G144" s="235"/>
      <c r="H144" s="236" t="s">
        <v>549</v>
      </c>
      <c r="I144" s="237" t="s">
        <v>519</v>
      </c>
      <c r="J144" s="228" t="s">
        <v>539</v>
      </c>
      <c r="K144" s="229">
        <v>13.01</v>
      </c>
      <c r="L144" s="230">
        <v>13.93</v>
      </c>
      <c r="N144" s="248" t="s">
        <v>705</v>
      </c>
      <c r="O144" s="253">
        <v>18.525379924320774</v>
      </c>
      <c r="P144" s="250">
        <v>665419.52575000026</v>
      </c>
    </row>
    <row r="145" spans="1:16">
      <c r="A145" s="208">
        <v>37862</v>
      </c>
      <c r="B145" s="208">
        <v>37372</v>
      </c>
      <c r="C145" s="208" t="s">
        <v>502</v>
      </c>
      <c r="D145" s="209">
        <v>14.8</v>
      </c>
      <c r="F145" s="224"/>
      <c r="G145" s="235"/>
      <c r="H145" s="236" t="s">
        <v>550</v>
      </c>
      <c r="I145" s="237" t="s">
        <v>519</v>
      </c>
      <c r="J145" s="228" t="s">
        <v>541</v>
      </c>
      <c r="K145" s="229">
        <v>12.93</v>
      </c>
      <c r="L145" s="230">
        <v>13.22</v>
      </c>
      <c r="N145" s="248" t="s">
        <v>706</v>
      </c>
      <c r="O145" s="253">
        <v>19.403919148887216</v>
      </c>
      <c r="P145" s="250">
        <v>775514.93012000003</v>
      </c>
    </row>
    <row r="146" spans="1:16">
      <c r="A146" s="208">
        <v>37876</v>
      </c>
      <c r="B146" s="208">
        <v>37372</v>
      </c>
      <c r="C146" s="208" t="s">
        <v>500</v>
      </c>
      <c r="D146" s="209">
        <v>14.5</v>
      </c>
      <c r="F146" s="224"/>
      <c r="G146" s="235"/>
      <c r="H146" s="236" t="s">
        <v>551</v>
      </c>
      <c r="I146" s="237" t="s">
        <v>519</v>
      </c>
      <c r="J146" s="228" t="s">
        <v>542</v>
      </c>
      <c r="K146" s="229">
        <v>12.92</v>
      </c>
      <c r="L146" s="230">
        <v>13.36</v>
      </c>
      <c r="N146" s="248" t="s">
        <v>707</v>
      </c>
      <c r="O146" s="253">
        <v>18.556515586976829</v>
      </c>
      <c r="P146" s="250">
        <v>595157.48056000005</v>
      </c>
    </row>
    <row r="147" spans="1:16">
      <c r="A147" s="208">
        <v>37876</v>
      </c>
      <c r="B147" s="208">
        <v>37372</v>
      </c>
      <c r="C147" s="208" t="s">
        <v>501</v>
      </c>
      <c r="D147" s="209">
        <v>14.5</v>
      </c>
      <c r="F147" s="224"/>
      <c r="G147" s="235" t="s">
        <v>556</v>
      </c>
      <c r="H147" s="236" t="s">
        <v>552</v>
      </c>
      <c r="I147" s="237" t="s">
        <v>519</v>
      </c>
      <c r="J147" s="228" t="s">
        <v>543</v>
      </c>
      <c r="K147" s="229">
        <v>12.79</v>
      </c>
      <c r="L147" s="230">
        <v>13.06</v>
      </c>
      <c r="N147" s="248" t="s">
        <v>708</v>
      </c>
      <c r="O147" s="253">
        <v>18.035288665689883</v>
      </c>
      <c r="P147" s="250">
        <v>571158.07326999994</v>
      </c>
    </row>
    <row r="148" spans="1:16">
      <c r="A148" s="208">
        <v>37876</v>
      </c>
      <c r="B148" s="208">
        <v>37372</v>
      </c>
      <c r="C148" s="208" t="s">
        <v>502</v>
      </c>
      <c r="D148" s="209">
        <v>14.5</v>
      </c>
      <c r="F148" s="224"/>
      <c r="G148" s="235"/>
      <c r="H148" s="236" t="s">
        <v>545</v>
      </c>
      <c r="I148" s="237" t="s">
        <v>519</v>
      </c>
      <c r="J148" s="228" t="s">
        <v>546</v>
      </c>
      <c r="K148" s="229">
        <v>12.74</v>
      </c>
      <c r="L148" s="230">
        <v>13.04</v>
      </c>
      <c r="N148" s="248" t="s">
        <v>709</v>
      </c>
      <c r="O148" s="253">
        <v>18.907507613810573</v>
      </c>
      <c r="P148" s="250">
        <v>515300.48407000001</v>
      </c>
    </row>
    <row r="149" spans="1:16">
      <c r="A149" s="208">
        <v>37918</v>
      </c>
      <c r="B149" s="208">
        <v>37372</v>
      </c>
      <c r="C149" s="208" t="s">
        <v>500</v>
      </c>
      <c r="D149" s="209">
        <v>14.7</v>
      </c>
      <c r="F149" s="224"/>
      <c r="G149" s="235"/>
      <c r="H149" s="236" t="s">
        <v>520</v>
      </c>
      <c r="I149" s="237" t="s">
        <v>519</v>
      </c>
      <c r="J149" s="228" t="s">
        <v>547</v>
      </c>
      <c r="K149" s="229">
        <v>12.82</v>
      </c>
      <c r="L149" s="230">
        <v>12.68</v>
      </c>
      <c r="N149" s="248" t="s">
        <v>710</v>
      </c>
      <c r="O149" s="253">
        <v>18.519617064572302</v>
      </c>
      <c r="P149" s="250">
        <v>700975.66347000015</v>
      </c>
    </row>
    <row r="150" spans="1:16">
      <c r="A150" s="208">
        <v>37918</v>
      </c>
      <c r="B150" s="208">
        <v>37372</v>
      </c>
      <c r="C150" s="208" t="s">
        <v>501</v>
      </c>
      <c r="D150" s="209">
        <v>14.7</v>
      </c>
      <c r="F150" s="224"/>
      <c r="G150" s="235"/>
      <c r="H150" s="236" t="s">
        <v>522</v>
      </c>
      <c r="I150" s="237" t="s">
        <v>519</v>
      </c>
      <c r="J150" s="228" t="s">
        <v>555</v>
      </c>
      <c r="K150" s="229">
        <v>12.48</v>
      </c>
      <c r="L150" s="230">
        <v>12.59</v>
      </c>
      <c r="N150" s="248" t="s">
        <v>711</v>
      </c>
      <c r="O150" s="253">
        <v>17.764402743444521</v>
      </c>
      <c r="P150" s="250">
        <v>563760.27555999998</v>
      </c>
    </row>
    <row r="151" spans="1:16">
      <c r="A151" s="208">
        <v>37918</v>
      </c>
      <c r="B151" s="208">
        <v>37372</v>
      </c>
      <c r="C151" s="208" t="s">
        <v>502</v>
      </c>
      <c r="D151" s="209">
        <v>14.7</v>
      </c>
      <c r="F151" s="224"/>
      <c r="G151" s="235"/>
      <c r="H151" s="236" t="s">
        <v>523</v>
      </c>
      <c r="I151" s="237" t="s">
        <v>519</v>
      </c>
      <c r="J151" s="228" t="s">
        <v>557</v>
      </c>
      <c r="K151" s="229">
        <v>12.56</v>
      </c>
      <c r="L151" s="230">
        <v>12.91</v>
      </c>
      <c r="N151" s="248" t="s">
        <v>712</v>
      </c>
      <c r="O151" s="253">
        <v>17.235211362655512</v>
      </c>
      <c r="P151" s="250">
        <v>609603.59948000009</v>
      </c>
    </row>
    <row r="152" spans="1:16">
      <c r="A152" s="208">
        <v>37939</v>
      </c>
      <c r="B152" s="208">
        <v>37372</v>
      </c>
      <c r="C152" s="208" t="s">
        <v>500</v>
      </c>
      <c r="D152" s="209">
        <v>14.1</v>
      </c>
      <c r="F152" s="224"/>
      <c r="G152" s="235" t="s">
        <v>558</v>
      </c>
      <c r="H152" s="236" t="s">
        <v>527</v>
      </c>
      <c r="I152" s="237" t="s">
        <v>519</v>
      </c>
      <c r="J152" s="228" t="s">
        <v>528</v>
      </c>
      <c r="K152" s="229">
        <v>12.14</v>
      </c>
      <c r="L152" s="230">
        <v>12.94</v>
      </c>
      <c r="N152" s="248" t="s">
        <v>713</v>
      </c>
      <c r="O152" s="253">
        <v>16.963184941787823</v>
      </c>
      <c r="P152" s="250">
        <v>600726.48364000011</v>
      </c>
    </row>
    <row r="153" spans="1:16">
      <c r="A153" s="208">
        <v>37939</v>
      </c>
      <c r="B153" s="208">
        <v>37372</v>
      </c>
      <c r="C153" s="208" t="s">
        <v>501</v>
      </c>
      <c r="D153" s="209">
        <v>14.1</v>
      </c>
      <c r="F153" s="224"/>
      <c r="G153" s="235"/>
      <c r="H153" s="236" t="s">
        <v>529</v>
      </c>
      <c r="I153" s="237" t="s">
        <v>519</v>
      </c>
      <c r="J153" s="228" t="s">
        <v>530</v>
      </c>
      <c r="K153" s="229">
        <v>12.47</v>
      </c>
      <c r="L153" s="230">
        <v>12.14</v>
      </c>
      <c r="N153" s="248" t="s">
        <v>714</v>
      </c>
      <c r="O153" s="253">
        <v>17.381130904672982</v>
      </c>
      <c r="P153" s="250">
        <v>714425.36696000001</v>
      </c>
    </row>
    <row r="154" spans="1:16">
      <c r="A154" s="208">
        <v>37939</v>
      </c>
      <c r="B154" s="208">
        <v>37372</v>
      </c>
      <c r="C154" s="208" t="s">
        <v>502</v>
      </c>
      <c r="D154" s="209">
        <v>14.1</v>
      </c>
      <c r="F154" s="224"/>
      <c r="G154" s="235"/>
      <c r="H154" s="236" t="s">
        <v>531</v>
      </c>
      <c r="I154" s="237" t="s">
        <v>519</v>
      </c>
      <c r="J154" s="228" t="s">
        <v>532</v>
      </c>
      <c r="K154" s="229">
        <v>12.09</v>
      </c>
      <c r="L154" s="230">
        <v>12.35</v>
      </c>
      <c r="N154" s="248" t="s">
        <v>715</v>
      </c>
      <c r="O154" s="253">
        <v>16.982643881594992</v>
      </c>
      <c r="P154" s="250">
        <v>979420.5341500002</v>
      </c>
    </row>
    <row r="155" spans="1:16">
      <c r="A155" s="208">
        <v>37953</v>
      </c>
      <c r="B155" s="208">
        <v>37372</v>
      </c>
      <c r="C155" s="208" t="s">
        <v>500</v>
      </c>
      <c r="D155" s="209">
        <v>13.93</v>
      </c>
      <c r="F155" s="224"/>
      <c r="G155" s="235"/>
      <c r="H155" s="236" t="s">
        <v>533</v>
      </c>
      <c r="I155" s="237" t="s">
        <v>519</v>
      </c>
      <c r="J155" s="228" t="s">
        <v>534</v>
      </c>
      <c r="K155" s="229">
        <v>12.24</v>
      </c>
      <c r="L155" s="230">
        <v>12.45</v>
      </c>
      <c r="N155" s="248" t="s">
        <v>716</v>
      </c>
      <c r="O155" s="253">
        <v>16.39348931522651</v>
      </c>
      <c r="P155" s="250">
        <v>758943.73694999982</v>
      </c>
    </row>
    <row r="156" spans="1:16">
      <c r="A156" s="208">
        <v>37953</v>
      </c>
      <c r="B156" s="208">
        <v>37372</v>
      </c>
      <c r="C156" s="208" t="s">
        <v>501</v>
      </c>
      <c r="D156" s="209">
        <v>13.93</v>
      </c>
      <c r="F156" s="224"/>
      <c r="G156" s="235" t="s">
        <v>559</v>
      </c>
      <c r="H156" s="236" t="s">
        <v>536</v>
      </c>
      <c r="I156" s="237" t="s">
        <v>519</v>
      </c>
      <c r="J156" s="228" t="s">
        <v>518</v>
      </c>
      <c r="K156" s="229">
        <v>12.08</v>
      </c>
      <c r="L156" s="230">
        <v>12.59</v>
      </c>
      <c r="N156" s="248" t="s">
        <v>717</v>
      </c>
      <c r="O156" s="253">
        <v>15.899642524991883</v>
      </c>
      <c r="P156" s="250">
        <v>827891.21275000006</v>
      </c>
    </row>
    <row r="157" spans="1:16">
      <c r="A157" s="208">
        <v>37953</v>
      </c>
      <c r="B157" s="208">
        <v>37372</v>
      </c>
      <c r="C157" s="208" t="s">
        <v>502</v>
      </c>
      <c r="D157" s="209">
        <v>13.93</v>
      </c>
      <c r="F157" s="224"/>
      <c r="G157" s="235"/>
      <c r="H157" s="236" t="s">
        <v>538</v>
      </c>
      <c r="I157" s="237" t="s">
        <v>519</v>
      </c>
      <c r="J157" s="228" t="s">
        <v>521</v>
      </c>
      <c r="K157" s="229">
        <v>12.01</v>
      </c>
      <c r="L157" s="230">
        <v>12.21</v>
      </c>
      <c r="N157" s="248" t="s">
        <v>718</v>
      </c>
      <c r="O157" s="253">
        <v>16.344752585142142</v>
      </c>
      <c r="P157" s="250">
        <v>971159.47072000022</v>
      </c>
    </row>
    <row r="158" spans="1:16">
      <c r="A158" s="208">
        <v>37967</v>
      </c>
      <c r="B158" s="208">
        <v>37372</v>
      </c>
      <c r="C158" s="208" t="s">
        <v>500</v>
      </c>
      <c r="D158" s="209">
        <v>13.79</v>
      </c>
      <c r="F158" s="224"/>
      <c r="G158" s="235"/>
      <c r="H158" s="236" t="s">
        <v>539</v>
      </c>
      <c r="I158" s="237" t="s">
        <v>519</v>
      </c>
      <c r="J158" s="228" t="s">
        <v>540</v>
      </c>
      <c r="K158" s="229">
        <v>11.99</v>
      </c>
      <c r="L158" s="230">
        <v>12.18</v>
      </c>
      <c r="N158" s="248" t="s">
        <v>719</v>
      </c>
      <c r="O158" s="253">
        <v>16.630956461081276</v>
      </c>
      <c r="P158" s="250">
        <v>1049794.8685599999</v>
      </c>
    </row>
    <row r="159" spans="1:16">
      <c r="A159" s="208">
        <v>37967</v>
      </c>
      <c r="B159" s="208">
        <v>37372</v>
      </c>
      <c r="C159" s="208" t="s">
        <v>501</v>
      </c>
      <c r="D159" s="209">
        <v>13.79</v>
      </c>
      <c r="F159" s="224"/>
      <c r="G159" s="235"/>
      <c r="H159" s="236" t="s">
        <v>541</v>
      </c>
      <c r="I159" s="237" t="s">
        <v>519</v>
      </c>
      <c r="J159" s="228" t="s">
        <v>524</v>
      </c>
      <c r="K159" s="229">
        <v>12.01</v>
      </c>
      <c r="L159" s="230">
        <v>11.99</v>
      </c>
      <c r="N159" s="248" t="s">
        <v>720</v>
      </c>
      <c r="O159" s="253">
        <v>16.047841312484397</v>
      </c>
      <c r="P159" s="250">
        <v>972493.17120999994</v>
      </c>
    </row>
    <row r="160" spans="1:16" ht="15.75" thickBot="1">
      <c r="A160" s="208">
        <v>37967</v>
      </c>
      <c r="B160" s="208">
        <v>37372</v>
      </c>
      <c r="C160" s="208" t="s">
        <v>502</v>
      </c>
      <c r="D160" s="209">
        <v>13.79</v>
      </c>
      <c r="F160" s="224"/>
      <c r="G160" s="235" t="s">
        <v>560</v>
      </c>
      <c r="H160" s="236" t="s">
        <v>542</v>
      </c>
      <c r="I160" s="237" t="s">
        <v>519</v>
      </c>
      <c r="J160" s="228" t="s">
        <v>543</v>
      </c>
      <c r="K160" s="229">
        <v>11.91</v>
      </c>
      <c r="L160" s="230">
        <v>12.29</v>
      </c>
      <c r="N160" s="248" t="s">
        <v>721</v>
      </c>
      <c r="O160" s="253">
        <v>16.432281084248249</v>
      </c>
      <c r="P160" s="250">
        <v>1039423.4110000001</v>
      </c>
    </row>
    <row r="161" spans="1:16" ht="15.75" thickBot="1">
      <c r="A161" s="643" t="s">
        <v>495</v>
      </c>
      <c r="B161" s="644"/>
      <c r="C161" s="645"/>
      <c r="D161" s="212">
        <f>AVERAGE(D134:D160)</f>
        <v>14.522222222222227</v>
      </c>
      <c r="F161" s="224"/>
      <c r="G161" s="235"/>
      <c r="H161" s="236" t="s">
        <v>545</v>
      </c>
      <c r="I161" s="237" t="s">
        <v>519</v>
      </c>
      <c r="J161" s="228" t="s">
        <v>546</v>
      </c>
      <c r="K161" s="229">
        <v>11.97</v>
      </c>
      <c r="L161" s="230">
        <v>12.37</v>
      </c>
      <c r="N161" s="248" t="s">
        <v>722</v>
      </c>
      <c r="O161" s="253">
        <v>16.509866007963414</v>
      </c>
      <c r="P161" s="250">
        <v>1232387.3299900002</v>
      </c>
    </row>
    <row r="162" spans="1:16" ht="15.75" thickBot="1">
      <c r="A162" s="208">
        <v>38030</v>
      </c>
      <c r="B162" s="208">
        <v>37372</v>
      </c>
      <c r="C162" s="208" t="s">
        <v>500</v>
      </c>
      <c r="D162" s="210">
        <v>13.69</v>
      </c>
      <c r="F162" s="224"/>
      <c r="G162" s="235"/>
      <c r="H162" s="236" t="s">
        <v>520</v>
      </c>
      <c r="I162" s="237" t="s">
        <v>519</v>
      </c>
      <c r="J162" s="228" t="s">
        <v>547</v>
      </c>
      <c r="K162" s="229">
        <v>12</v>
      </c>
      <c r="L162" s="230">
        <v>12.22</v>
      </c>
      <c r="N162" s="248" t="s">
        <v>723</v>
      </c>
      <c r="O162" s="253">
        <v>16.919887198233759</v>
      </c>
      <c r="P162" s="250">
        <v>747423.49351999979</v>
      </c>
    </row>
    <row r="163" spans="1:16" ht="16.5" thickBot="1">
      <c r="A163" s="208">
        <v>38030</v>
      </c>
      <c r="B163" s="208">
        <v>37372</v>
      </c>
      <c r="C163" s="208" t="s">
        <v>502</v>
      </c>
      <c r="D163" s="210">
        <v>13.69</v>
      </c>
      <c r="F163" s="224"/>
      <c r="G163" s="235"/>
      <c r="H163" s="236" t="s">
        <v>522</v>
      </c>
      <c r="I163" s="237" t="s">
        <v>519</v>
      </c>
      <c r="J163" s="228" t="s">
        <v>555</v>
      </c>
      <c r="K163" s="229">
        <v>11.96</v>
      </c>
      <c r="L163" s="230">
        <v>12.26</v>
      </c>
      <c r="N163" s="251" t="s">
        <v>561</v>
      </c>
      <c r="O163" s="254">
        <f>AVERAGE(O111:O162)</f>
        <v>18.203435180169411</v>
      </c>
      <c r="P163" s="250"/>
    </row>
    <row r="164" spans="1:16" ht="15.75" thickBot="1">
      <c r="A164" s="208">
        <v>38044</v>
      </c>
      <c r="B164" s="208">
        <v>37372</v>
      </c>
      <c r="C164" s="208" t="s">
        <v>500</v>
      </c>
      <c r="D164" s="210">
        <v>13.16</v>
      </c>
      <c r="F164" s="224"/>
      <c r="G164" s="235"/>
      <c r="H164" s="236" t="s">
        <v>523</v>
      </c>
      <c r="I164" s="237" t="s">
        <v>519</v>
      </c>
      <c r="J164" s="228" t="s">
        <v>557</v>
      </c>
      <c r="K164" s="229">
        <v>12.07</v>
      </c>
      <c r="L164" s="230">
        <v>12.28</v>
      </c>
      <c r="N164" s="248" t="s">
        <v>724</v>
      </c>
      <c r="O164" s="253">
        <v>17.052649118088347</v>
      </c>
      <c r="P164" s="250">
        <v>351397.51107999997</v>
      </c>
    </row>
    <row r="165" spans="1:16" ht="15.75" thickBot="1">
      <c r="A165" s="208">
        <v>38044</v>
      </c>
      <c r="B165" s="208">
        <v>37372</v>
      </c>
      <c r="C165" s="208" t="s">
        <v>502</v>
      </c>
      <c r="D165" s="210">
        <v>13.16</v>
      </c>
      <c r="F165" s="640" t="s">
        <v>561</v>
      </c>
      <c r="G165" s="641"/>
      <c r="H165" s="641"/>
      <c r="I165" s="641"/>
      <c r="J165" s="641"/>
      <c r="K165" s="642"/>
      <c r="L165" s="234">
        <f>AVERAGE(L113:L164)</f>
        <v>13.656923076923078</v>
      </c>
      <c r="N165" s="248" t="s">
        <v>725</v>
      </c>
      <c r="O165" s="253">
        <v>15.832365110040433</v>
      </c>
      <c r="P165" s="250">
        <v>622193.62467000005</v>
      </c>
    </row>
    <row r="166" spans="1:16">
      <c r="A166" s="208">
        <v>38058</v>
      </c>
      <c r="B166" s="208">
        <v>37372</v>
      </c>
      <c r="C166" s="208" t="s">
        <v>500</v>
      </c>
      <c r="D166" s="210">
        <v>12.75</v>
      </c>
      <c r="F166" s="224">
        <v>2002</v>
      </c>
      <c r="G166" s="235" t="s">
        <v>517</v>
      </c>
      <c r="H166" s="236" t="s">
        <v>525</v>
      </c>
      <c r="I166" s="237" t="s">
        <v>519</v>
      </c>
      <c r="J166" s="228" t="s">
        <v>549</v>
      </c>
      <c r="K166" s="229">
        <v>11.86</v>
      </c>
      <c r="L166" s="230">
        <v>11.8</v>
      </c>
      <c r="N166" s="248" t="s">
        <v>726</v>
      </c>
      <c r="O166" s="253">
        <v>15.721287690665932</v>
      </c>
      <c r="P166" s="250">
        <v>878344.85184999986</v>
      </c>
    </row>
    <row r="167" spans="1:16">
      <c r="A167" s="208">
        <v>38058</v>
      </c>
      <c r="B167" s="208">
        <v>37372</v>
      </c>
      <c r="C167" s="208" t="s">
        <v>502</v>
      </c>
      <c r="D167" s="210">
        <v>12.75</v>
      </c>
      <c r="F167" s="224"/>
      <c r="G167" s="235"/>
      <c r="H167" s="236" t="s">
        <v>528</v>
      </c>
      <c r="I167" s="239" t="s">
        <v>519</v>
      </c>
      <c r="J167" s="228" t="s">
        <v>550</v>
      </c>
      <c r="K167" s="229">
        <v>11.85</v>
      </c>
      <c r="L167" s="230">
        <v>11.99</v>
      </c>
      <c r="N167" s="248" t="s">
        <v>727</v>
      </c>
      <c r="O167" s="253">
        <v>16.254795231510514</v>
      </c>
      <c r="P167" s="250">
        <v>799153.58318000007</v>
      </c>
    </row>
    <row r="168" spans="1:16">
      <c r="A168" s="208">
        <v>38072</v>
      </c>
      <c r="B168" s="208">
        <v>37372</v>
      </c>
      <c r="C168" s="208" t="s">
        <v>500</v>
      </c>
      <c r="D168" s="210">
        <v>12.2</v>
      </c>
      <c r="F168" s="224"/>
      <c r="G168" s="235"/>
      <c r="H168" s="236" t="s">
        <v>530</v>
      </c>
      <c r="I168" s="239" t="s">
        <v>519</v>
      </c>
      <c r="J168" s="228" t="s">
        <v>551</v>
      </c>
      <c r="K168" s="229">
        <v>11.9</v>
      </c>
      <c r="L168" s="230">
        <v>11.87</v>
      </c>
      <c r="N168" s="248" t="s">
        <v>728</v>
      </c>
      <c r="O168" s="253">
        <v>16.356518886720451</v>
      </c>
      <c r="P168" s="250">
        <v>810158.03541000001</v>
      </c>
    </row>
    <row r="169" spans="1:16">
      <c r="A169" s="208">
        <v>38072</v>
      </c>
      <c r="B169" s="208">
        <v>37372</v>
      </c>
      <c r="C169" s="208" t="s">
        <v>502</v>
      </c>
      <c r="D169" s="210">
        <v>12.2</v>
      </c>
      <c r="F169" s="224"/>
      <c r="G169" s="235"/>
      <c r="H169" s="236" t="s">
        <v>532</v>
      </c>
      <c r="I169" s="239" t="s">
        <v>519</v>
      </c>
      <c r="J169" s="228" t="s">
        <v>552</v>
      </c>
      <c r="K169" s="229">
        <v>11.62</v>
      </c>
      <c r="L169" s="230">
        <v>11.91</v>
      </c>
      <c r="N169" s="248" t="s">
        <v>729</v>
      </c>
      <c r="O169" s="253">
        <v>15.826664426617535</v>
      </c>
      <c r="P169" s="250">
        <v>709832.79274999991</v>
      </c>
    </row>
    <row r="170" spans="1:16">
      <c r="A170" s="208">
        <v>38093</v>
      </c>
      <c r="B170" s="208">
        <v>37372</v>
      </c>
      <c r="C170" s="208" t="s">
        <v>500</v>
      </c>
      <c r="D170" s="210">
        <v>11.93</v>
      </c>
      <c r="F170" s="224"/>
      <c r="G170" s="235" t="s">
        <v>526</v>
      </c>
      <c r="H170" s="236" t="s">
        <v>534</v>
      </c>
      <c r="I170" s="239" t="s">
        <v>519</v>
      </c>
      <c r="J170" s="228" t="s">
        <v>545</v>
      </c>
      <c r="K170" s="229">
        <v>11.66</v>
      </c>
      <c r="L170" s="230">
        <v>11.93</v>
      </c>
      <c r="N170" s="248" t="s">
        <v>730</v>
      </c>
      <c r="O170" s="253">
        <v>14.956989170285865</v>
      </c>
      <c r="P170" s="250">
        <v>916542.86436000001</v>
      </c>
    </row>
    <row r="171" spans="1:16">
      <c r="A171" s="208">
        <v>38093</v>
      </c>
      <c r="B171" s="208">
        <v>37372</v>
      </c>
      <c r="C171" s="208" t="s">
        <v>502</v>
      </c>
      <c r="D171" s="210">
        <v>0</v>
      </c>
      <c r="F171" s="224"/>
      <c r="G171" s="235"/>
      <c r="H171" s="236" t="s">
        <v>518</v>
      </c>
      <c r="I171" s="239" t="s">
        <v>519</v>
      </c>
      <c r="J171" s="228" t="s">
        <v>520</v>
      </c>
      <c r="K171" s="229">
        <v>11.58</v>
      </c>
      <c r="L171" s="230">
        <v>11.91</v>
      </c>
      <c r="N171" s="248" t="s">
        <v>731</v>
      </c>
      <c r="O171" s="253">
        <v>15.829414515584249</v>
      </c>
      <c r="P171" s="250">
        <v>827111.05344999977</v>
      </c>
    </row>
    <row r="172" spans="1:16">
      <c r="A172" s="208">
        <v>38149</v>
      </c>
      <c r="B172" s="208">
        <v>37372</v>
      </c>
      <c r="C172" s="208" t="s">
        <v>500</v>
      </c>
      <c r="D172" s="210">
        <v>14.15</v>
      </c>
      <c r="F172" s="224"/>
      <c r="G172" s="235"/>
      <c r="H172" s="236" t="s">
        <v>521</v>
      </c>
      <c r="I172" s="239" t="s">
        <v>519</v>
      </c>
      <c r="J172" s="228" t="s">
        <v>522</v>
      </c>
      <c r="K172" s="229">
        <v>11.52</v>
      </c>
      <c r="L172" s="230">
        <v>11.85</v>
      </c>
      <c r="N172" s="248" t="s">
        <v>732</v>
      </c>
      <c r="O172" s="253">
        <v>16.516973881799828</v>
      </c>
      <c r="P172" s="250">
        <v>875912.10831000004</v>
      </c>
    </row>
    <row r="173" spans="1:16">
      <c r="A173" s="208">
        <v>38149</v>
      </c>
      <c r="B173" s="208">
        <v>37372</v>
      </c>
      <c r="C173" s="208" t="s">
        <v>502</v>
      </c>
      <c r="D173" s="210">
        <v>14.15</v>
      </c>
      <c r="F173" s="224"/>
      <c r="G173" s="235"/>
      <c r="H173" s="236" t="s">
        <v>540</v>
      </c>
      <c r="I173" s="239" t="s">
        <v>519</v>
      </c>
      <c r="J173" s="228" t="s">
        <v>523</v>
      </c>
      <c r="K173" s="229">
        <v>11.23</v>
      </c>
      <c r="L173" s="230">
        <v>11.51</v>
      </c>
      <c r="N173" s="248" t="s">
        <v>733</v>
      </c>
      <c r="O173" s="253">
        <v>16.04822874324498</v>
      </c>
      <c r="P173" s="250">
        <v>639036.51794000005</v>
      </c>
    </row>
    <row r="174" spans="1:16">
      <c r="A174" s="208">
        <v>38163</v>
      </c>
      <c r="B174" s="208">
        <v>37372</v>
      </c>
      <c r="C174" s="208" t="s">
        <v>500</v>
      </c>
      <c r="D174" s="210">
        <v>14.18</v>
      </c>
      <c r="F174" s="224"/>
      <c r="G174" s="235" t="s">
        <v>535</v>
      </c>
      <c r="H174" s="236" t="s">
        <v>524</v>
      </c>
      <c r="I174" s="239" t="s">
        <v>519</v>
      </c>
      <c r="J174" s="228" t="s">
        <v>545</v>
      </c>
      <c r="K174" s="229">
        <v>11.15</v>
      </c>
      <c r="L174" s="230">
        <v>11.42</v>
      </c>
      <c r="N174" s="248" t="s">
        <v>734</v>
      </c>
      <c r="O174" s="253">
        <v>15.276399348269425</v>
      </c>
      <c r="P174" s="250">
        <v>838947.19995999965</v>
      </c>
    </row>
    <row r="175" spans="1:16">
      <c r="A175" s="208">
        <v>38163</v>
      </c>
      <c r="B175" s="208">
        <v>37372</v>
      </c>
      <c r="C175" s="208" t="s">
        <v>502</v>
      </c>
      <c r="D175" s="210">
        <v>14.18</v>
      </c>
      <c r="F175" s="224"/>
      <c r="G175" s="235"/>
      <c r="H175" s="236" t="s">
        <v>518</v>
      </c>
      <c r="I175" s="239" t="s">
        <v>519</v>
      </c>
      <c r="J175" s="228" t="s">
        <v>520</v>
      </c>
      <c r="K175" s="229">
        <v>11.39</v>
      </c>
      <c r="L175" s="230">
        <v>11.17</v>
      </c>
      <c r="N175" s="248" t="s">
        <v>735</v>
      </c>
      <c r="O175" s="253">
        <v>15.248562556920918</v>
      </c>
      <c r="P175" s="250">
        <v>1136461.9554500005</v>
      </c>
    </row>
    <row r="176" spans="1:16">
      <c r="A176" s="208">
        <v>38184</v>
      </c>
      <c r="B176" s="208">
        <v>37372</v>
      </c>
      <c r="C176" s="208" t="s">
        <v>500</v>
      </c>
      <c r="D176" s="210">
        <v>14.1</v>
      </c>
      <c r="F176" s="224"/>
      <c r="G176" s="235"/>
      <c r="H176" s="236" t="s">
        <v>521</v>
      </c>
      <c r="I176" s="239" t="s">
        <v>519</v>
      </c>
      <c r="J176" s="228" t="s">
        <v>522</v>
      </c>
      <c r="K176" s="229">
        <v>11.19</v>
      </c>
      <c r="L176" s="230">
        <v>11.42</v>
      </c>
      <c r="N176" s="248" t="s">
        <v>736</v>
      </c>
      <c r="O176" s="253">
        <v>16.829756389701902</v>
      </c>
      <c r="P176" s="250">
        <v>378540.60611999995</v>
      </c>
    </row>
    <row r="177" spans="1:16">
      <c r="A177" s="208">
        <v>38184</v>
      </c>
      <c r="B177" s="208">
        <v>37372</v>
      </c>
      <c r="C177" s="208" t="s">
        <v>502</v>
      </c>
      <c r="D177" s="210">
        <v>14.1</v>
      </c>
      <c r="F177" s="224"/>
      <c r="G177" s="235"/>
      <c r="H177" s="236" t="s">
        <v>540</v>
      </c>
      <c r="I177" s="239" t="s">
        <v>519</v>
      </c>
      <c r="J177" s="228" t="s">
        <v>523</v>
      </c>
      <c r="K177" s="229">
        <v>11.02</v>
      </c>
      <c r="L177" s="230">
        <v>11.49</v>
      </c>
      <c r="N177" s="248" t="s">
        <v>737</v>
      </c>
      <c r="O177" s="253">
        <v>15.738484251828496</v>
      </c>
      <c r="P177" s="250">
        <v>784894.2671099999</v>
      </c>
    </row>
    <row r="178" spans="1:16">
      <c r="A178" s="208">
        <v>38198</v>
      </c>
      <c r="B178" s="208">
        <v>37372</v>
      </c>
      <c r="C178" s="208" t="s">
        <v>500</v>
      </c>
      <c r="D178" s="210">
        <v>14.3</v>
      </c>
      <c r="F178" s="224"/>
      <c r="G178" s="235"/>
      <c r="H178" s="236" t="s">
        <v>524</v>
      </c>
      <c r="I178" s="239" t="s">
        <v>519</v>
      </c>
      <c r="J178" s="228" t="s">
        <v>525</v>
      </c>
      <c r="K178" s="229">
        <v>11.06</v>
      </c>
      <c r="L178" s="230">
        <v>11.4</v>
      </c>
      <c r="N178" s="248" t="s">
        <v>738</v>
      </c>
      <c r="O178" s="253">
        <v>14.833080122744351</v>
      </c>
      <c r="P178" s="250">
        <v>816145.73043</v>
      </c>
    </row>
    <row r="179" spans="1:16">
      <c r="A179" s="208">
        <v>38198</v>
      </c>
      <c r="B179" s="208">
        <v>37372</v>
      </c>
      <c r="C179" s="208" t="s">
        <v>502</v>
      </c>
      <c r="D179" s="210">
        <v>14.3</v>
      </c>
      <c r="F179" s="224"/>
      <c r="G179" s="235" t="s">
        <v>537</v>
      </c>
      <c r="H179" s="236" t="s">
        <v>527</v>
      </c>
      <c r="I179" s="239" t="s">
        <v>519</v>
      </c>
      <c r="J179" s="228" t="s">
        <v>528</v>
      </c>
      <c r="K179" s="229">
        <v>11.05</v>
      </c>
      <c r="L179" s="230">
        <v>11.46</v>
      </c>
      <c r="N179" s="248" t="s">
        <v>739</v>
      </c>
      <c r="O179" s="253">
        <v>14.185757538644927</v>
      </c>
      <c r="P179" s="250">
        <v>931664.27063999954</v>
      </c>
    </row>
    <row r="180" spans="1:16">
      <c r="A180" s="208">
        <v>38212</v>
      </c>
      <c r="B180" s="208">
        <v>37372</v>
      </c>
      <c r="C180" s="208" t="s">
        <v>500</v>
      </c>
      <c r="D180" s="210">
        <v>14.07</v>
      </c>
      <c r="F180" s="224"/>
      <c r="G180" s="235"/>
      <c r="H180" s="236" t="s">
        <v>529</v>
      </c>
      <c r="I180" s="239" t="s">
        <v>519</v>
      </c>
      <c r="J180" s="228" t="s">
        <v>530</v>
      </c>
      <c r="K180" s="229">
        <v>10.98</v>
      </c>
      <c r="L180" s="230">
        <v>11.11</v>
      </c>
      <c r="N180" s="248" t="s">
        <v>740</v>
      </c>
      <c r="O180" s="253">
        <v>15.279063615829751</v>
      </c>
      <c r="P180" s="250">
        <v>875520.37822000007</v>
      </c>
    </row>
    <row r="181" spans="1:16">
      <c r="A181" s="208">
        <v>38212</v>
      </c>
      <c r="B181" s="208">
        <v>37372</v>
      </c>
      <c r="C181" s="208" t="s">
        <v>502</v>
      </c>
      <c r="D181" s="210">
        <v>0</v>
      </c>
      <c r="F181" s="224"/>
      <c r="G181" s="235"/>
      <c r="H181" s="236" t="s">
        <v>531</v>
      </c>
      <c r="I181" s="239" t="s">
        <v>519</v>
      </c>
      <c r="J181" s="228" t="s">
        <v>532</v>
      </c>
      <c r="K181" s="229">
        <v>10.71</v>
      </c>
      <c r="L181" s="230">
        <v>11.3</v>
      </c>
      <c r="N181" s="248" t="s">
        <v>741</v>
      </c>
      <c r="O181" s="253">
        <v>14.843199752788214</v>
      </c>
      <c r="P181" s="250">
        <v>1025464.0513899999</v>
      </c>
    </row>
    <row r="182" spans="1:16">
      <c r="A182" s="208">
        <v>38226</v>
      </c>
      <c r="B182" s="208">
        <v>37372</v>
      </c>
      <c r="C182" s="208" t="s">
        <v>500</v>
      </c>
      <c r="D182" s="210">
        <v>13.59</v>
      </c>
      <c r="F182" s="224"/>
      <c r="G182" s="235"/>
      <c r="H182" s="236" t="s">
        <v>533</v>
      </c>
      <c r="I182" s="239" t="s">
        <v>519</v>
      </c>
      <c r="J182" s="228" t="s">
        <v>534</v>
      </c>
      <c r="K182" s="229">
        <v>10.49</v>
      </c>
      <c r="L182" s="230">
        <v>10.9</v>
      </c>
      <c r="N182" s="248" t="s">
        <v>742</v>
      </c>
      <c r="O182" s="253">
        <v>14.864835589759572</v>
      </c>
      <c r="P182" s="250">
        <v>858803.58979999996</v>
      </c>
    </row>
    <row r="183" spans="1:16">
      <c r="A183" s="208">
        <v>38226</v>
      </c>
      <c r="B183" s="208">
        <v>37372</v>
      </c>
      <c r="C183" s="208" t="s">
        <v>502</v>
      </c>
      <c r="D183" s="210">
        <v>0</v>
      </c>
      <c r="F183" s="224"/>
      <c r="G183" s="235" t="s">
        <v>544</v>
      </c>
      <c r="H183" s="236" t="s">
        <v>536</v>
      </c>
      <c r="I183" s="239" t="s">
        <v>519</v>
      </c>
      <c r="J183" s="228" t="s">
        <v>538</v>
      </c>
      <c r="K183" s="229">
        <v>10.28</v>
      </c>
      <c r="L183" s="230">
        <v>10.48</v>
      </c>
      <c r="N183" s="248" t="s">
        <v>743</v>
      </c>
      <c r="O183" s="253">
        <v>15.076447286816254</v>
      </c>
      <c r="P183" s="250">
        <v>877437.84082000016</v>
      </c>
    </row>
    <row r="184" spans="1:16">
      <c r="A184" s="208">
        <v>38240</v>
      </c>
      <c r="B184" s="208">
        <v>37372</v>
      </c>
      <c r="C184" s="208" t="s">
        <v>500</v>
      </c>
      <c r="D184" s="210">
        <v>13.55</v>
      </c>
      <c r="F184" s="224"/>
      <c r="G184" s="235"/>
      <c r="H184" s="236" t="s">
        <v>549</v>
      </c>
      <c r="I184" s="239" t="s">
        <v>519</v>
      </c>
      <c r="J184" s="228" t="s">
        <v>539</v>
      </c>
      <c r="K184" s="229">
        <v>9.9700000000000006</v>
      </c>
      <c r="L184" s="230">
        <v>10.77</v>
      </c>
      <c r="N184" s="248" t="s">
        <v>744</v>
      </c>
      <c r="O184" s="253">
        <v>14.587630290080925</v>
      </c>
      <c r="P184" s="250">
        <v>970768.88383000006</v>
      </c>
    </row>
    <row r="185" spans="1:16">
      <c r="A185" s="208">
        <v>38240</v>
      </c>
      <c r="B185" s="208">
        <v>37372</v>
      </c>
      <c r="C185" s="208" t="s">
        <v>502</v>
      </c>
      <c r="D185" s="210">
        <v>13.55</v>
      </c>
      <c r="F185" s="224"/>
      <c r="G185" s="235"/>
      <c r="H185" s="236" t="s">
        <v>550</v>
      </c>
      <c r="I185" s="239" t="s">
        <v>519</v>
      </c>
      <c r="J185" s="228" t="s">
        <v>541</v>
      </c>
      <c r="K185" s="229">
        <v>9.64</v>
      </c>
      <c r="L185" s="230">
        <v>10.51</v>
      </c>
      <c r="N185" s="248" t="s">
        <v>745</v>
      </c>
      <c r="O185" s="253">
        <v>14.932397708967461</v>
      </c>
      <c r="P185" s="250">
        <v>1041984.9316900002</v>
      </c>
    </row>
    <row r="186" spans="1:16">
      <c r="A186" s="208">
        <v>38254</v>
      </c>
      <c r="B186" s="208">
        <v>37372</v>
      </c>
      <c r="C186" s="208" t="s">
        <v>500</v>
      </c>
      <c r="D186" s="210">
        <v>13.36</v>
      </c>
      <c r="F186" s="224"/>
      <c r="G186" s="235"/>
      <c r="H186" s="236" t="s">
        <v>551</v>
      </c>
      <c r="I186" s="239" t="s">
        <v>519</v>
      </c>
      <c r="J186" s="228" t="s">
        <v>542</v>
      </c>
      <c r="K186" s="229">
        <v>9.4600000000000009</v>
      </c>
      <c r="L186" s="230">
        <v>9.84</v>
      </c>
      <c r="N186" s="248" t="s">
        <v>746</v>
      </c>
      <c r="O186" s="253">
        <v>14.454258312990351</v>
      </c>
      <c r="P186" s="250">
        <v>803970.8004500001</v>
      </c>
    </row>
    <row r="187" spans="1:16">
      <c r="A187" s="208">
        <v>38254</v>
      </c>
      <c r="B187" s="208">
        <v>37372</v>
      </c>
      <c r="C187" s="208" t="s">
        <v>502</v>
      </c>
      <c r="D187" s="210">
        <v>0</v>
      </c>
      <c r="F187" s="224"/>
      <c r="G187" s="235" t="s">
        <v>548</v>
      </c>
      <c r="H187" s="236" t="s">
        <v>552</v>
      </c>
      <c r="I187" s="239" t="s">
        <v>519</v>
      </c>
      <c r="J187" s="228" t="s">
        <v>543</v>
      </c>
      <c r="K187" s="229">
        <v>9.33</v>
      </c>
      <c r="L187" s="230">
        <v>9.75</v>
      </c>
      <c r="N187" s="248" t="s">
        <v>747</v>
      </c>
      <c r="O187" s="253">
        <v>12.837765487145777</v>
      </c>
      <c r="P187" s="250">
        <v>909918.89726</v>
      </c>
    </row>
    <row r="188" spans="1:16">
      <c r="A188" s="208">
        <v>38275</v>
      </c>
      <c r="B188" s="208">
        <v>38242</v>
      </c>
      <c r="C188" s="208" t="s">
        <v>500</v>
      </c>
      <c r="D188" s="210">
        <v>13.49</v>
      </c>
      <c r="F188" s="224"/>
      <c r="G188" s="235"/>
      <c r="H188" s="236" t="s">
        <v>545</v>
      </c>
      <c r="I188" s="239" t="s">
        <v>519</v>
      </c>
      <c r="J188" s="228" t="s">
        <v>546</v>
      </c>
      <c r="K188" s="229">
        <v>9.0500000000000007</v>
      </c>
      <c r="L188" s="230">
        <v>9.9</v>
      </c>
      <c r="N188" s="248" t="s">
        <v>748</v>
      </c>
      <c r="O188" s="253">
        <v>13.942426159582645</v>
      </c>
      <c r="P188" s="250">
        <v>957092.60352</v>
      </c>
    </row>
    <row r="189" spans="1:16">
      <c r="A189" s="208">
        <v>38275</v>
      </c>
      <c r="B189" s="208">
        <v>38242</v>
      </c>
      <c r="C189" s="208" t="s">
        <v>502</v>
      </c>
      <c r="D189" s="210">
        <v>13.49</v>
      </c>
      <c r="F189" s="224"/>
      <c r="G189" s="235"/>
      <c r="H189" s="236" t="s">
        <v>520</v>
      </c>
      <c r="I189" s="239" t="s">
        <v>519</v>
      </c>
      <c r="J189" s="228" t="s">
        <v>547</v>
      </c>
      <c r="K189" s="229">
        <v>9.1199999999999992</v>
      </c>
      <c r="L189" s="230">
        <v>9.52</v>
      </c>
      <c r="N189" s="248" t="s">
        <v>749</v>
      </c>
      <c r="O189" s="253">
        <v>14.141644275338066</v>
      </c>
      <c r="P189" s="250">
        <v>1109267.4968099999</v>
      </c>
    </row>
    <row r="190" spans="1:16">
      <c r="A190" s="208">
        <v>38334</v>
      </c>
      <c r="B190" s="208">
        <v>38242</v>
      </c>
      <c r="C190" s="208" t="s">
        <v>500</v>
      </c>
      <c r="D190" s="210">
        <v>13.4</v>
      </c>
      <c r="F190" s="224"/>
      <c r="G190" s="235"/>
      <c r="H190" s="236" t="s">
        <v>522</v>
      </c>
      <c r="I190" s="239" t="s">
        <v>519</v>
      </c>
      <c r="J190" s="228" t="s">
        <v>555</v>
      </c>
      <c r="K190" s="229">
        <v>8.92</v>
      </c>
      <c r="L190" s="230">
        <v>9.5399999999999991</v>
      </c>
      <c r="N190" s="248" t="s">
        <v>750</v>
      </c>
      <c r="O190" s="253">
        <v>13.450367509727867</v>
      </c>
      <c r="P190" s="250">
        <v>1010769.18903</v>
      </c>
    </row>
    <row r="191" spans="1:16" ht="15.75" thickBot="1">
      <c r="A191" s="208">
        <v>38334</v>
      </c>
      <c r="B191" s="208">
        <v>38242</v>
      </c>
      <c r="C191" s="208" t="s">
        <v>502</v>
      </c>
      <c r="D191" s="210">
        <v>13.4</v>
      </c>
      <c r="F191" s="224"/>
      <c r="G191" s="235"/>
      <c r="H191" s="236" t="s">
        <v>523</v>
      </c>
      <c r="I191" s="239" t="s">
        <v>519</v>
      </c>
      <c r="J191" s="228" t="s">
        <v>557</v>
      </c>
      <c r="K191" s="229">
        <v>8.86</v>
      </c>
      <c r="L191" s="230">
        <v>9.58</v>
      </c>
      <c r="N191" s="248" t="s">
        <v>751</v>
      </c>
      <c r="O191" s="253">
        <v>13.066934144255658</v>
      </c>
      <c r="P191" s="250">
        <v>823575.40846000006</v>
      </c>
    </row>
    <row r="192" spans="1:16" ht="15.75" thickBot="1">
      <c r="A192" s="643" t="s">
        <v>495</v>
      </c>
      <c r="B192" s="644"/>
      <c r="C192" s="645"/>
      <c r="D192" s="211">
        <f>AVERAGE(D162:D191)</f>
        <v>11.696333333333335</v>
      </c>
      <c r="F192" s="224"/>
      <c r="G192" s="235" t="s">
        <v>553</v>
      </c>
      <c r="H192" s="236" t="s">
        <v>527</v>
      </c>
      <c r="I192" s="239" t="s">
        <v>519</v>
      </c>
      <c r="J192" s="228" t="s">
        <v>528</v>
      </c>
      <c r="K192" s="229">
        <v>8.59</v>
      </c>
      <c r="L192" s="230">
        <v>9.2200000000000006</v>
      </c>
      <c r="N192" s="248" t="s">
        <v>752</v>
      </c>
      <c r="O192" s="253">
        <v>13.334681091063571</v>
      </c>
      <c r="P192" s="250">
        <v>896063.29778999998</v>
      </c>
    </row>
    <row r="193" spans="1:16">
      <c r="A193" s="208">
        <v>38366</v>
      </c>
      <c r="B193" s="208">
        <v>38242</v>
      </c>
      <c r="C193" s="208" t="s">
        <v>500</v>
      </c>
      <c r="D193" s="210">
        <v>12.18</v>
      </c>
      <c r="F193" s="224"/>
      <c r="G193" s="235"/>
      <c r="H193" s="236" t="s">
        <v>529</v>
      </c>
      <c r="I193" s="239" t="s">
        <v>519</v>
      </c>
      <c r="J193" s="228" t="s">
        <v>530</v>
      </c>
      <c r="K193" s="229">
        <v>8.4700000000000006</v>
      </c>
      <c r="L193" s="230">
        <v>9.0399999999999991</v>
      </c>
      <c r="N193" s="248" t="s">
        <v>753</v>
      </c>
      <c r="O193" s="253">
        <v>14.248031281467814</v>
      </c>
      <c r="P193" s="250">
        <v>840285.34431999992</v>
      </c>
    </row>
    <row r="194" spans="1:16">
      <c r="A194" s="208">
        <v>38366</v>
      </c>
      <c r="B194" s="208">
        <v>38242</v>
      </c>
      <c r="C194" s="208" t="s">
        <v>502</v>
      </c>
      <c r="D194" s="210">
        <v>0</v>
      </c>
      <c r="F194" s="224"/>
      <c r="G194" s="235"/>
      <c r="H194" s="236" t="s">
        <v>531</v>
      </c>
      <c r="I194" s="239" t="s">
        <v>519</v>
      </c>
      <c r="J194" s="228" t="s">
        <v>532</v>
      </c>
      <c r="K194" s="229">
        <v>8.4600000000000009</v>
      </c>
      <c r="L194" s="230">
        <v>9.2200000000000006</v>
      </c>
      <c r="N194" s="248" t="s">
        <v>754</v>
      </c>
      <c r="O194" s="253">
        <v>13.190247414061705</v>
      </c>
      <c r="P194" s="250">
        <v>1026537.88445</v>
      </c>
    </row>
    <row r="195" spans="1:16">
      <c r="A195" s="208">
        <v>38378</v>
      </c>
      <c r="B195" s="208">
        <v>38242</v>
      </c>
      <c r="C195" s="208" t="s">
        <v>500</v>
      </c>
      <c r="D195" s="210">
        <v>12.32</v>
      </c>
      <c r="F195" s="224"/>
      <c r="G195" s="235"/>
      <c r="H195" s="236" t="s">
        <v>533</v>
      </c>
      <c r="I195" s="239" t="s">
        <v>519</v>
      </c>
      <c r="J195" s="228" t="s">
        <v>534</v>
      </c>
      <c r="K195" s="229">
        <v>8.42</v>
      </c>
      <c r="L195" s="230">
        <v>8.69</v>
      </c>
      <c r="N195" s="248" t="s">
        <v>755</v>
      </c>
      <c r="O195" s="253">
        <v>13.604541554899464</v>
      </c>
      <c r="P195" s="250">
        <v>613442.22985999996</v>
      </c>
    </row>
    <row r="196" spans="1:16">
      <c r="A196" s="208">
        <v>38380</v>
      </c>
      <c r="B196" s="208">
        <v>38242</v>
      </c>
      <c r="C196" s="208" t="s">
        <v>502</v>
      </c>
      <c r="D196" s="210">
        <v>12.32</v>
      </c>
      <c r="F196" s="224"/>
      <c r="G196" s="235" t="s">
        <v>554</v>
      </c>
      <c r="H196" s="236" t="s">
        <v>536</v>
      </c>
      <c r="I196" s="239" t="s">
        <v>519</v>
      </c>
      <c r="J196" s="228" t="s">
        <v>518</v>
      </c>
      <c r="K196" s="229">
        <v>8.51</v>
      </c>
      <c r="L196" s="230">
        <v>8.82</v>
      </c>
      <c r="N196" s="248" t="s">
        <v>756</v>
      </c>
      <c r="O196" s="253">
        <v>12.846493613513374</v>
      </c>
      <c r="P196" s="250">
        <v>1071126.26183</v>
      </c>
    </row>
    <row r="197" spans="1:16">
      <c r="A197" s="208">
        <v>38394</v>
      </c>
      <c r="B197" s="208">
        <v>38242</v>
      </c>
      <c r="C197" s="208" t="s">
        <v>500</v>
      </c>
      <c r="D197" s="210">
        <v>12.18</v>
      </c>
      <c r="F197" s="224"/>
      <c r="G197" s="235"/>
      <c r="H197" s="236" t="s">
        <v>538</v>
      </c>
      <c r="I197" s="239" t="s">
        <v>519</v>
      </c>
      <c r="J197" s="228" t="s">
        <v>521</v>
      </c>
      <c r="K197" s="229">
        <v>8.36</v>
      </c>
      <c r="L197" s="230">
        <v>9.35</v>
      </c>
      <c r="N197" s="248" t="s">
        <v>757</v>
      </c>
      <c r="O197" s="253">
        <v>12.756385550778297</v>
      </c>
      <c r="P197" s="250">
        <v>1088866.5345899998</v>
      </c>
    </row>
    <row r="198" spans="1:16">
      <c r="A198" s="208">
        <v>38394</v>
      </c>
      <c r="B198" s="208">
        <v>38242</v>
      </c>
      <c r="C198" s="208" t="s">
        <v>502</v>
      </c>
      <c r="D198" s="210">
        <v>12.18</v>
      </c>
      <c r="F198" s="224"/>
      <c r="G198" s="235"/>
      <c r="H198" s="236" t="s">
        <v>539</v>
      </c>
      <c r="I198" s="239" t="s">
        <v>519</v>
      </c>
      <c r="J198" s="228" t="s">
        <v>540</v>
      </c>
      <c r="K198" s="229">
        <v>8.3800000000000008</v>
      </c>
      <c r="L198" s="230">
        <v>8.77</v>
      </c>
      <c r="N198" s="248" t="s">
        <v>758</v>
      </c>
      <c r="O198" s="253">
        <v>13.01358921438672</v>
      </c>
      <c r="P198" s="250">
        <v>1235385.9976700002</v>
      </c>
    </row>
    <row r="199" spans="1:16">
      <c r="A199" s="208">
        <v>38408</v>
      </c>
      <c r="B199" s="208">
        <v>38242</v>
      </c>
      <c r="C199" s="208" t="s">
        <v>500</v>
      </c>
      <c r="D199" s="210">
        <v>11.98</v>
      </c>
      <c r="F199" s="224"/>
      <c r="G199" s="235"/>
      <c r="H199" s="236" t="s">
        <v>541</v>
      </c>
      <c r="I199" s="239" t="s">
        <v>519</v>
      </c>
      <c r="J199" s="228" t="s">
        <v>524</v>
      </c>
      <c r="K199" s="229">
        <v>8.44</v>
      </c>
      <c r="L199" s="230">
        <v>8.7899999999999991</v>
      </c>
      <c r="N199" s="248" t="s">
        <v>759</v>
      </c>
      <c r="O199" s="253">
        <v>12.775433253664795</v>
      </c>
      <c r="P199" s="250">
        <v>925101.37079999992</v>
      </c>
    </row>
    <row r="200" spans="1:16">
      <c r="A200" s="208">
        <v>38408</v>
      </c>
      <c r="B200" s="208">
        <v>38242</v>
      </c>
      <c r="C200" s="208" t="s">
        <v>502</v>
      </c>
      <c r="D200" s="210">
        <v>0</v>
      </c>
      <c r="F200" s="224"/>
      <c r="G200" s="235" t="s">
        <v>556</v>
      </c>
      <c r="H200" s="236" t="s">
        <v>542</v>
      </c>
      <c r="I200" s="239" t="s">
        <v>519</v>
      </c>
      <c r="J200" s="228" t="s">
        <v>527</v>
      </c>
      <c r="K200" s="229">
        <v>8.56</v>
      </c>
      <c r="L200" s="230">
        <v>8.84</v>
      </c>
      <c r="N200" s="248" t="s">
        <v>760</v>
      </c>
      <c r="O200" s="253">
        <v>12.88386819599171</v>
      </c>
      <c r="P200" s="250">
        <v>1061124.8219599999</v>
      </c>
    </row>
    <row r="201" spans="1:16">
      <c r="A201" s="208">
        <v>38415</v>
      </c>
      <c r="B201" s="208">
        <v>38242</v>
      </c>
      <c r="C201" s="208" t="s">
        <v>500</v>
      </c>
      <c r="D201" s="210">
        <v>12.18</v>
      </c>
      <c r="F201" s="224"/>
      <c r="G201" s="235"/>
      <c r="H201" s="236" t="s">
        <v>543</v>
      </c>
      <c r="I201" s="239" t="s">
        <v>519</v>
      </c>
      <c r="J201" s="228" t="s">
        <v>529</v>
      </c>
      <c r="K201" s="229">
        <v>8.57</v>
      </c>
      <c r="L201" s="230">
        <v>9.02</v>
      </c>
      <c r="N201" s="248" t="s">
        <v>761</v>
      </c>
      <c r="O201" s="253">
        <v>13.435567755671523</v>
      </c>
      <c r="P201" s="250">
        <v>983125.59562000004</v>
      </c>
    </row>
    <row r="202" spans="1:16">
      <c r="A202" s="208">
        <v>38415</v>
      </c>
      <c r="B202" s="208">
        <v>38242</v>
      </c>
      <c r="C202" s="208" t="s">
        <v>502</v>
      </c>
      <c r="D202" s="210">
        <v>12.18</v>
      </c>
      <c r="F202" s="224"/>
      <c r="G202" s="235"/>
      <c r="H202" s="236" t="s">
        <v>546</v>
      </c>
      <c r="I202" s="239" t="s">
        <v>519</v>
      </c>
      <c r="J202" s="228" t="s">
        <v>531</v>
      </c>
      <c r="K202" s="229">
        <v>8.6</v>
      </c>
      <c r="L202" s="230">
        <v>8.73</v>
      </c>
      <c r="N202" s="248" t="s">
        <v>762</v>
      </c>
      <c r="O202" s="253">
        <v>13.115698365253715</v>
      </c>
      <c r="P202" s="250">
        <v>1096369.11191</v>
      </c>
    </row>
    <row r="203" spans="1:16">
      <c r="A203" s="208">
        <v>38422</v>
      </c>
      <c r="B203" s="208">
        <v>38242</v>
      </c>
      <c r="C203" s="208" t="s">
        <v>500</v>
      </c>
      <c r="D203" s="210">
        <v>12.15</v>
      </c>
      <c r="F203" s="224"/>
      <c r="G203" s="235"/>
      <c r="H203" s="236" t="s">
        <v>547</v>
      </c>
      <c r="I203" s="239" t="s">
        <v>519</v>
      </c>
      <c r="J203" s="228" t="s">
        <v>533</v>
      </c>
      <c r="K203" s="229">
        <v>8.7100000000000009</v>
      </c>
      <c r="L203" s="230">
        <v>8.73</v>
      </c>
      <c r="N203" s="248" t="s">
        <v>763</v>
      </c>
      <c r="O203" s="253">
        <v>12.756953953985828</v>
      </c>
      <c r="P203" s="250">
        <v>1039706.7564</v>
      </c>
    </row>
    <row r="204" spans="1:16">
      <c r="A204" s="208">
        <v>38422</v>
      </c>
      <c r="B204" s="208">
        <v>38242</v>
      </c>
      <c r="C204" s="208" t="s">
        <v>502</v>
      </c>
      <c r="D204" s="210">
        <v>0</v>
      </c>
      <c r="F204" s="224"/>
      <c r="G204" s="235"/>
      <c r="H204" s="236" t="s">
        <v>555</v>
      </c>
      <c r="I204" s="239" t="s">
        <v>519</v>
      </c>
      <c r="J204" s="228" t="s">
        <v>536</v>
      </c>
      <c r="K204" s="229">
        <v>8.64</v>
      </c>
      <c r="L204" s="230">
        <v>8.86</v>
      </c>
      <c r="N204" s="248" t="s">
        <v>764</v>
      </c>
      <c r="O204" s="253">
        <v>13.077812849167143</v>
      </c>
      <c r="P204" s="250">
        <v>965409.68429999996</v>
      </c>
    </row>
    <row r="205" spans="1:16">
      <c r="A205" s="208">
        <v>38429</v>
      </c>
      <c r="B205" s="208">
        <v>38242</v>
      </c>
      <c r="C205" s="208" t="s">
        <v>500</v>
      </c>
      <c r="D205" s="210">
        <v>12.57</v>
      </c>
      <c r="F205" s="224"/>
      <c r="G205" s="235" t="s">
        <v>558</v>
      </c>
      <c r="H205" s="236" t="s">
        <v>557</v>
      </c>
      <c r="I205" s="239" t="s">
        <v>519</v>
      </c>
      <c r="J205" s="228" t="s">
        <v>549</v>
      </c>
      <c r="K205" s="229">
        <v>8.82</v>
      </c>
      <c r="L205" s="230">
        <v>8.91</v>
      </c>
      <c r="N205" s="248" t="s">
        <v>765</v>
      </c>
      <c r="O205" s="253">
        <v>12.724081151631006</v>
      </c>
      <c r="P205" s="250">
        <v>950108.26010000007</v>
      </c>
    </row>
    <row r="206" spans="1:16">
      <c r="A206" s="208">
        <v>38429</v>
      </c>
      <c r="B206" s="208">
        <v>38242</v>
      </c>
      <c r="C206" s="208" t="s">
        <v>502</v>
      </c>
      <c r="D206" s="210">
        <v>12.57</v>
      </c>
      <c r="F206" s="224"/>
      <c r="G206" s="235"/>
      <c r="H206" s="236" t="s">
        <v>528</v>
      </c>
      <c r="I206" s="239" t="s">
        <v>519</v>
      </c>
      <c r="J206" s="228" t="s">
        <v>550</v>
      </c>
      <c r="K206" s="229">
        <v>8.77</v>
      </c>
      <c r="L206" s="230">
        <v>8.59</v>
      </c>
      <c r="N206" s="248" t="s">
        <v>766</v>
      </c>
      <c r="O206" s="253">
        <v>13.149580036662648</v>
      </c>
      <c r="P206" s="250">
        <v>1043055.32296</v>
      </c>
    </row>
    <row r="207" spans="1:16">
      <c r="A207" s="208">
        <v>38443</v>
      </c>
      <c r="B207" s="208">
        <v>38242</v>
      </c>
      <c r="C207" s="208" t="s">
        <v>500</v>
      </c>
      <c r="D207" s="210">
        <v>12.8</v>
      </c>
      <c r="F207" s="224"/>
      <c r="G207" s="235"/>
      <c r="H207" s="236" t="s">
        <v>530</v>
      </c>
      <c r="I207" s="239" t="s">
        <v>519</v>
      </c>
      <c r="J207" s="228" t="s">
        <v>551</v>
      </c>
      <c r="K207" s="229">
        <v>8.6199999999999992</v>
      </c>
      <c r="L207" s="230">
        <v>7.78</v>
      </c>
      <c r="N207" s="248" t="s">
        <v>767</v>
      </c>
      <c r="O207" s="255">
        <v>13.155570925022133</v>
      </c>
      <c r="P207" s="256">
        <v>1333251.8507600001</v>
      </c>
    </row>
    <row r="208" spans="1:16">
      <c r="A208" s="208">
        <v>38443</v>
      </c>
      <c r="B208" s="208">
        <v>38242</v>
      </c>
      <c r="C208" s="208" t="s">
        <v>502</v>
      </c>
      <c r="D208" s="210">
        <v>12.8</v>
      </c>
      <c r="F208" s="224"/>
      <c r="G208" s="235"/>
      <c r="H208" s="236" t="s">
        <v>532</v>
      </c>
      <c r="I208" s="239" t="s">
        <v>519</v>
      </c>
      <c r="J208" s="228" t="s">
        <v>552</v>
      </c>
      <c r="K208" s="229">
        <v>8.67</v>
      </c>
      <c r="L208" s="230">
        <v>7.43</v>
      </c>
      <c r="N208" s="248" t="s">
        <v>768</v>
      </c>
      <c r="O208" s="255">
        <v>12.803125320813367</v>
      </c>
      <c r="P208" s="256">
        <v>836671.63320999988</v>
      </c>
    </row>
    <row r="209" spans="1:16">
      <c r="A209" s="208">
        <v>38457</v>
      </c>
      <c r="B209" s="208">
        <v>38242</v>
      </c>
      <c r="C209" s="208" t="s">
        <v>500</v>
      </c>
      <c r="D209" s="210">
        <v>12.39</v>
      </c>
      <c r="F209" s="224"/>
      <c r="G209" s="235" t="s">
        <v>559</v>
      </c>
      <c r="H209" s="236" t="s">
        <v>534</v>
      </c>
      <c r="I209" s="239" t="s">
        <v>519</v>
      </c>
      <c r="J209" s="228" t="s">
        <v>545</v>
      </c>
      <c r="K209" s="229">
        <v>8.64</v>
      </c>
      <c r="L209" s="230">
        <v>7.72</v>
      </c>
      <c r="N209" s="248" t="s">
        <v>769</v>
      </c>
      <c r="O209" s="255">
        <v>12.408234953776905</v>
      </c>
      <c r="P209" s="256">
        <v>1034054.4801300002</v>
      </c>
    </row>
    <row r="210" spans="1:16">
      <c r="A210" s="208">
        <v>38457</v>
      </c>
      <c r="B210" s="208">
        <v>38242</v>
      </c>
      <c r="C210" s="208" t="s">
        <v>502</v>
      </c>
      <c r="D210" s="210">
        <v>0</v>
      </c>
      <c r="F210" s="224"/>
      <c r="G210" s="235"/>
      <c r="H210" s="236" t="s">
        <v>518</v>
      </c>
      <c r="I210" s="239" t="s">
        <v>519</v>
      </c>
      <c r="J210" s="228" t="s">
        <v>520</v>
      </c>
      <c r="K210" s="229">
        <v>8.61</v>
      </c>
      <c r="L210" s="230">
        <v>7.28</v>
      </c>
      <c r="N210" s="248" t="s">
        <v>770</v>
      </c>
      <c r="O210" s="255">
        <v>13.165218389633521</v>
      </c>
      <c r="P210" s="256">
        <v>1106348.04889</v>
      </c>
    </row>
    <row r="211" spans="1:16">
      <c r="A211" s="208">
        <v>38471</v>
      </c>
      <c r="B211" s="208">
        <v>38242</v>
      </c>
      <c r="C211" s="208" t="s">
        <v>500</v>
      </c>
      <c r="D211" s="210">
        <v>12.79</v>
      </c>
      <c r="F211" s="224"/>
      <c r="G211" s="235"/>
      <c r="H211" s="236" t="s">
        <v>521</v>
      </c>
      <c r="I211" s="239" t="s">
        <v>519</v>
      </c>
      <c r="J211" s="228" t="s">
        <v>522</v>
      </c>
      <c r="K211" s="229">
        <v>8.58</v>
      </c>
      <c r="L211" s="230">
        <v>7.98</v>
      </c>
      <c r="N211" s="248" t="s">
        <v>771</v>
      </c>
      <c r="O211" s="255">
        <v>12.735720236634823</v>
      </c>
      <c r="P211" s="256">
        <v>1549802.6660199999</v>
      </c>
    </row>
    <row r="212" spans="1:16">
      <c r="A212" s="208">
        <v>38471</v>
      </c>
      <c r="B212" s="208">
        <v>38242</v>
      </c>
      <c r="C212" s="208" t="s">
        <v>502</v>
      </c>
      <c r="D212" s="210">
        <v>12.79</v>
      </c>
      <c r="F212" s="224"/>
      <c r="G212" s="235"/>
      <c r="H212" s="236" t="s">
        <v>540</v>
      </c>
      <c r="I212" s="239" t="s">
        <v>519</v>
      </c>
      <c r="J212" s="228" t="s">
        <v>523</v>
      </c>
      <c r="K212" s="229">
        <v>8.6199999999999992</v>
      </c>
      <c r="L212" s="230">
        <v>7.88</v>
      </c>
      <c r="N212" s="248" t="s">
        <v>772</v>
      </c>
      <c r="O212" s="255">
        <v>13.190091769129539</v>
      </c>
      <c r="P212" s="256">
        <v>1017693.9920699999</v>
      </c>
    </row>
    <row r="213" spans="1:16">
      <c r="A213" s="208">
        <v>38485</v>
      </c>
      <c r="B213" s="208">
        <v>38242</v>
      </c>
      <c r="C213" s="208" t="s">
        <v>500</v>
      </c>
      <c r="D213" s="210">
        <v>12.1</v>
      </c>
      <c r="F213" s="224"/>
      <c r="G213" s="235" t="s">
        <v>560</v>
      </c>
      <c r="H213" s="236" t="s">
        <v>524</v>
      </c>
      <c r="I213" s="239" t="s">
        <v>519</v>
      </c>
      <c r="J213" s="228" t="s">
        <v>527</v>
      </c>
      <c r="K213" s="229">
        <v>8.5500000000000007</v>
      </c>
      <c r="L213" s="230">
        <v>8.11</v>
      </c>
      <c r="N213" s="248" t="s">
        <v>773</v>
      </c>
      <c r="O213" s="255">
        <v>12.146869211329502</v>
      </c>
      <c r="P213" s="256">
        <v>1336870.2716900001</v>
      </c>
    </row>
    <row r="214" spans="1:16">
      <c r="A214" s="208">
        <v>38485</v>
      </c>
      <c r="B214" s="208">
        <v>38242</v>
      </c>
      <c r="C214" s="208" t="s">
        <v>502</v>
      </c>
      <c r="D214" s="210">
        <v>12.1</v>
      </c>
      <c r="F214" s="224"/>
      <c r="G214" s="235"/>
      <c r="H214" s="236" t="s">
        <v>543</v>
      </c>
      <c r="I214" s="239" t="s">
        <v>519</v>
      </c>
      <c r="J214" s="228" t="s">
        <v>529</v>
      </c>
      <c r="K214" s="229">
        <v>8.61</v>
      </c>
      <c r="L214" s="230">
        <v>8.85</v>
      </c>
      <c r="N214" s="248" t="s">
        <v>774</v>
      </c>
      <c r="O214" s="255">
        <v>12.668687989781759</v>
      </c>
      <c r="P214" s="256">
        <v>1570839.4069400001</v>
      </c>
    </row>
    <row r="215" spans="1:16" ht="15.75" thickBot="1">
      <c r="A215" s="208">
        <v>38499</v>
      </c>
      <c r="B215" s="208">
        <v>38242</v>
      </c>
      <c r="C215" s="208" t="s">
        <v>500</v>
      </c>
      <c r="D215" s="210">
        <v>11.74</v>
      </c>
      <c r="F215" s="224"/>
      <c r="G215" s="235"/>
      <c r="H215" s="236" t="s">
        <v>546</v>
      </c>
      <c r="I215" s="239" t="s">
        <v>519</v>
      </c>
      <c r="J215" s="228" t="s">
        <v>531</v>
      </c>
      <c r="K215" s="229">
        <v>8.5</v>
      </c>
      <c r="L215" s="230">
        <v>8.24</v>
      </c>
      <c r="N215" s="248" t="s">
        <v>775</v>
      </c>
      <c r="O215" s="249">
        <v>13.067020940977388</v>
      </c>
      <c r="P215" s="256">
        <v>1382343.0951100001</v>
      </c>
    </row>
    <row r="216" spans="1:16" ht="16.5" thickBot="1">
      <c r="A216" s="208">
        <v>38499</v>
      </c>
      <c r="B216" s="208">
        <v>38242</v>
      </c>
      <c r="C216" s="208" t="s">
        <v>502</v>
      </c>
      <c r="D216" s="210">
        <v>0</v>
      </c>
      <c r="F216" s="224"/>
      <c r="G216" s="235"/>
      <c r="H216" s="236" t="s">
        <v>547</v>
      </c>
      <c r="I216" s="239" t="s">
        <v>519</v>
      </c>
      <c r="J216" s="228" t="s">
        <v>533</v>
      </c>
      <c r="K216" s="229">
        <v>8.5</v>
      </c>
      <c r="L216" s="230">
        <v>8.09</v>
      </c>
      <c r="N216" s="251" t="s">
        <v>561</v>
      </c>
      <c r="O216" s="252">
        <f>AVERAGE(O164:O215)</f>
        <v>14.15843081029325</v>
      </c>
      <c r="P216" s="256"/>
    </row>
    <row r="217" spans="1:16" ht="15.75" thickBot="1">
      <c r="A217" s="208">
        <v>38513</v>
      </c>
      <c r="B217" s="208">
        <v>38242</v>
      </c>
      <c r="C217" s="208" t="s">
        <v>500</v>
      </c>
      <c r="D217" s="210">
        <v>11.69</v>
      </c>
      <c r="F217" s="224"/>
      <c r="G217" s="235"/>
      <c r="H217" s="236" t="s">
        <v>555</v>
      </c>
      <c r="I217" s="239" t="s">
        <v>519</v>
      </c>
      <c r="J217" s="228" t="s">
        <v>536</v>
      </c>
      <c r="K217" s="229">
        <v>8.4700000000000006</v>
      </c>
      <c r="L217" s="230">
        <v>8.33</v>
      </c>
      <c r="N217" s="248" t="s">
        <v>776</v>
      </c>
      <c r="O217" s="249">
        <v>12.390906953544912</v>
      </c>
      <c r="P217" s="256">
        <v>634789.95945000008</v>
      </c>
    </row>
    <row r="218" spans="1:16" ht="15.75" thickBot="1">
      <c r="A218" s="208">
        <v>38513</v>
      </c>
      <c r="B218" s="208">
        <v>38242</v>
      </c>
      <c r="C218" s="208" t="s">
        <v>502</v>
      </c>
      <c r="D218" s="210">
        <v>11.69</v>
      </c>
      <c r="F218" s="640" t="s">
        <v>561</v>
      </c>
      <c r="G218" s="641"/>
      <c r="H218" s="641"/>
      <c r="I218" s="641"/>
      <c r="J218" s="641"/>
      <c r="K218" s="642"/>
      <c r="L218" s="234">
        <f>AVERAGE(L166:L217)</f>
        <v>9.7615384615384624</v>
      </c>
      <c r="N218" s="248" t="s">
        <v>777</v>
      </c>
      <c r="O218" s="249">
        <v>12.260136354206232</v>
      </c>
      <c r="P218" s="256">
        <v>1064003.6772999999</v>
      </c>
    </row>
    <row r="219" spans="1:16">
      <c r="A219" s="208">
        <v>38527</v>
      </c>
      <c r="B219" s="208">
        <v>38242</v>
      </c>
      <c r="C219" s="208" t="s">
        <v>500</v>
      </c>
      <c r="D219" s="210">
        <v>10.99</v>
      </c>
      <c r="F219" s="224">
        <v>2003</v>
      </c>
      <c r="G219" s="235" t="s">
        <v>517</v>
      </c>
      <c r="H219" s="236" t="s">
        <v>557</v>
      </c>
      <c r="I219" s="239" t="s">
        <v>519</v>
      </c>
      <c r="J219" s="228" t="s">
        <v>538</v>
      </c>
      <c r="K219" s="229">
        <v>8.5299999999999994</v>
      </c>
      <c r="L219" s="230">
        <v>8.19</v>
      </c>
      <c r="N219" s="248" t="s">
        <v>778</v>
      </c>
      <c r="O219" s="249">
        <v>12.371728991591032</v>
      </c>
      <c r="P219" s="256">
        <v>952421.82257999992</v>
      </c>
    </row>
    <row r="220" spans="1:16">
      <c r="A220" s="208">
        <v>38527</v>
      </c>
      <c r="B220" s="208">
        <v>38242</v>
      </c>
      <c r="C220" s="208" t="s">
        <v>502</v>
      </c>
      <c r="D220" s="210">
        <v>10.99</v>
      </c>
      <c r="F220" s="224"/>
      <c r="G220" s="235"/>
      <c r="H220" s="236" t="s">
        <v>549</v>
      </c>
      <c r="I220" s="239" t="s">
        <v>519</v>
      </c>
      <c r="J220" s="228" t="s">
        <v>539</v>
      </c>
      <c r="K220" s="229">
        <v>8.33</v>
      </c>
      <c r="L220" s="230">
        <v>8.5500000000000007</v>
      </c>
      <c r="N220" s="248" t="s">
        <v>779</v>
      </c>
      <c r="O220" s="249">
        <v>12.201838557565679</v>
      </c>
      <c r="P220" s="256">
        <v>1068038.99869</v>
      </c>
    </row>
    <row r="221" spans="1:16">
      <c r="A221" s="208">
        <v>38548</v>
      </c>
      <c r="B221" s="208">
        <v>38242</v>
      </c>
      <c r="C221" s="208" t="s">
        <v>500</v>
      </c>
      <c r="D221" s="210">
        <v>9.8800000000000008</v>
      </c>
      <c r="F221" s="224"/>
      <c r="G221" s="235"/>
      <c r="H221" s="236" t="s">
        <v>550</v>
      </c>
      <c r="I221" s="239" t="s">
        <v>519</v>
      </c>
      <c r="J221" s="228" t="s">
        <v>541</v>
      </c>
      <c r="K221" s="229">
        <v>8.41</v>
      </c>
      <c r="L221" s="230">
        <v>8.76</v>
      </c>
      <c r="N221" s="248" t="s">
        <v>780</v>
      </c>
      <c r="O221" s="249">
        <v>12.704877623757826</v>
      </c>
      <c r="P221" s="256">
        <v>1397928.5342600001</v>
      </c>
    </row>
    <row r="222" spans="1:16">
      <c r="A222" s="208">
        <v>38548</v>
      </c>
      <c r="B222" s="208">
        <v>38242</v>
      </c>
      <c r="C222" s="208" t="s">
        <v>502</v>
      </c>
      <c r="D222" s="210">
        <v>9.8800000000000008</v>
      </c>
      <c r="F222" s="224"/>
      <c r="G222" s="235"/>
      <c r="H222" s="236" t="s">
        <v>551</v>
      </c>
      <c r="I222" s="239" t="s">
        <v>519</v>
      </c>
      <c r="J222" s="228" t="s">
        <v>542</v>
      </c>
      <c r="K222" s="229">
        <v>8.3000000000000007</v>
      </c>
      <c r="L222" s="230">
        <v>8.41</v>
      </c>
      <c r="N222" s="248" t="s">
        <v>781</v>
      </c>
      <c r="O222" s="249">
        <v>12.232524896792402</v>
      </c>
      <c r="P222" s="256">
        <v>871273.58682999993</v>
      </c>
    </row>
    <row r="223" spans="1:16">
      <c r="A223" s="208">
        <v>38562</v>
      </c>
      <c r="B223" s="208">
        <v>38242</v>
      </c>
      <c r="C223" s="208" t="s">
        <v>500</v>
      </c>
      <c r="D223" s="210">
        <v>10</v>
      </c>
      <c r="F223" s="224"/>
      <c r="G223" s="235" t="s">
        <v>526</v>
      </c>
      <c r="H223" s="236" t="s">
        <v>552</v>
      </c>
      <c r="I223" s="239" t="s">
        <v>519</v>
      </c>
      <c r="J223" s="228" t="s">
        <v>543</v>
      </c>
      <c r="K223" s="229">
        <v>8.2200000000000006</v>
      </c>
      <c r="L223" s="230">
        <v>9.34</v>
      </c>
      <c r="N223" s="248" t="s">
        <v>782</v>
      </c>
      <c r="O223" s="249">
        <v>12.133812874411884</v>
      </c>
      <c r="P223" s="256">
        <v>1362992.7792799999</v>
      </c>
    </row>
    <row r="224" spans="1:16">
      <c r="A224" s="208">
        <v>38562</v>
      </c>
      <c r="B224" s="208">
        <v>38242</v>
      </c>
      <c r="C224" s="208" t="s">
        <v>502</v>
      </c>
      <c r="D224" s="210">
        <v>10</v>
      </c>
      <c r="F224" s="224"/>
      <c r="G224" s="235"/>
      <c r="H224" s="236" t="s">
        <v>545</v>
      </c>
      <c r="I224" s="239" t="s">
        <v>519</v>
      </c>
      <c r="J224" s="228" t="s">
        <v>546</v>
      </c>
      <c r="K224" s="229">
        <v>8.35</v>
      </c>
      <c r="L224" s="230">
        <v>8.07</v>
      </c>
      <c r="N224" s="248" t="s">
        <v>783</v>
      </c>
      <c r="O224" s="249">
        <v>13.32607893188802</v>
      </c>
      <c r="P224" s="256">
        <v>967957.75683999993</v>
      </c>
    </row>
    <row r="225" spans="1:16">
      <c r="A225" s="208">
        <v>38576</v>
      </c>
      <c r="B225" s="208">
        <v>38242</v>
      </c>
      <c r="C225" s="208" t="s">
        <v>500</v>
      </c>
      <c r="D225" s="210">
        <v>9.7899999999999991</v>
      </c>
      <c r="F225" s="224"/>
      <c r="G225" s="235"/>
      <c r="H225" s="236" t="s">
        <v>520</v>
      </c>
      <c r="I225" s="239" t="s">
        <v>519</v>
      </c>
      <c r="J225" s="228" t="s">
        <v>547</v>
      </c>
      <c r="K225" s="229">
        <v>8.25</v>
      </c>
      <c r="L225" s="230">
        <v>8.43</v>
      </c>
      <c r="N225" s="248" t="s">
        <v>784</v>
      </c>
      <c r="O225" s="249">
        <v>13.106131708215909</v>
      </c>
      <c r="P225" s="256">
        <v>1313057.0722000001</v>
      </c>
    </row>
    <row r="226" spans="1:16">
      <c r="A226" s="208">
        <v>38576</v>
      </c>
      <c r="B226" s="208">
        <v>38242</v>
      </c>
      <c r="C226" s="208" t="s">
        <v>502</v>
      </c>
      <c r="D226" s="210">
        <v>9.7899999999999991</v>
      </c>
      <c r="F226" s="224"/>
      <c r="G226" s="235"/>
      <c r="H226" s="236" t="s">
        <v>522</v>
      </c>
      <c r="I226" s="239" t="s">
        <v>519</v>
      </c>
      <c r="J226" s="228" t="s">
        <v>555</v>
      </c>
      <c r="K226" s="229">
        <v>8.15</v>
      </c>
      <c r="L226" s="230">
        <v>11.49</v>
      </c>
      <c r="N226" s="248" t="s">
        <v>785</v>
      </c>
      <c r="O226" s="249">
        <v>13.380875079941237</v>
      </c>
      <c r="P226" s="256">
        <v>770818.97849000001</v>
      </c>
    </row>
    <row r="227" spans="1:16">
      <c r="A227" s="208">
        <v>38588</v>
      </c>
      <c r="B227" s="208">
        <v>38242</v>
      </c>
      <c r="C227" s="208" t="s">
        <v>500</v>
      </c>
      <c r="D227" s="210">
        <v>9.99</v>
      </c>
      <c r="F227" s="224"/>
      <c r="G227" s="235" t="s">
        <v>535</v>
      </c>
      <c r="H227" s="236" t="s">
        <v>523</v>
      </c>
      <c r="I227" s="239" t="s">
        <v>519</v>
      </c>
      <c r="J227" s="228" t="s">
        <v>543</v>
      </c>
      <c r="K227" s="229">
        <v>8.24</v>
      </c>
      <c r="L227" s="230">
        <v>8.4700000000000006</v>
      </c>
      <c r="N227" s="248" t="s">
        <v>786</v>
      </c>
      <c r="O227" s="249">
        <v>12.552643714829486</v>
      </c>
      <c r="P227" s="256">
        <v>1128057.2389799999</v>
      </c>
    </row>
    <row r="228" spans="1:16">
      <c r="A228" s="208">
        <v>38593</v>
      </c>
      <c r="B228" s="208">
        <v>38242</v>
      </c>
      <c r="C228" s="208" t="s">
        <v>502</v>
      </c>
      <c r="D228" s="210">
        <v>9.99</v>
      </c>
      <c r="F228" s="224"/>
      <c r="G228" s="235"/>
      <c r="H228" s="236" t="s">
        <v>545</v>
      </c>
      <c r="I228" s="239" t="s">
        <v>519</v>
      </c>
      <c r="J228" s="228" t="s">
        <v>546</v>
      </c>
      <c r="K228" s="229">
        <v>8.2799999999999994</v>
      </c>
      <c r="L228" s="230">
        <v>9.5399999999999991</v>
      </c>
      <c r="N228" s="248" t="s">
        <v>787</v>
      </c>
      <c r="O228" s="249">
        <v>12.884549152722116</v>
      </c>
      <c r="P228" s="256">
        <v>1128633.02676</v>
      </c>
    </row>
    <row r="229" spans="1:16">
      <c r="A229" s="208">
        <v>38609</v>
      </c>
      <c r="B229" s="208">
        <v>38242</v>
      </c>
      <c r="C229" s="208" t="s">
        <v>500</v>
      </c>
      <c r="D229" s="210">
        <v>9.39</v>
      </c>
      <c r="F229" s="224"/>
      <c r="G229" s="235"/>
      <c r="H229" s="236" t="s">
        <v>520</v>
      </c>
      <c r="I229" s="239" t="s">
        <v>519</v>
      </c>
      <c r="J229" s="228" t="s">
        <v>547</v>
      </c>
      <c r="K229" s="229">
        <v>8.34</v>
      </c>
      <c r="L229" s="230">
        <v>8.67</v>
      </c>
      <c r="N229" s="248" t="s">
        <v>788</v>
      </c>
      <c r="O229" s="249">
        <v>12.767552051534363</v>
      </c>
      <c r="P229" s="256">
        <v>1166805.80357</v>
      </c>
    </row>
    <row r="230" spans="1:16">
      <c r="A230" s="208">
        <v>38614</v>
      </c>
      <c r="B230" s="208">
        <v>38242</v>
      </c>
      <c r="C230" s="208" t="s">
        <v>502</v>
      </c>
      <c r="D230" s="210">
        <v>9.39</v>
      </c>
      <c r="F230" s="224"/>
      <c r="G230" s="235"/>
      <c r="H230" s="236" t="s">
        <v>522</v>
      </c>
      <c r="I230" s="239" t="s">
        <v>519</v>
      </c>
      <c r="J230" s="228" t="s">
        <v>555</v>
      </c>
      <c r="K230" s="229">
        <v>8.16</v>
      </c>
      <c r="L230" s="230">
        <v>8.5399999999999991</v>
      </c>
      <c r="N230" s="248" t="s">
        <v>789</v>
      </c>
      <c r="O230" s="249">
        <v>12.039254167806181</v>
      </c>
      <c r="P230" s="256">
        <v>1367353.47746</v>
      </c>
    </row>
    <row r="231" spans="1:16">
      <c r="A231" s="208">
        <v>38623</v>
      </c>
      <c r="B231" s="208">
        <v>38242</v>
      </c>
      <c r="C231" s="208" t="s">
        <v>500</v>
      </c>
      <c r="D231" s="210">
        <v>8.8000000000000007</v>
      </c>
      <c r="F231" s="224"/>
      <c r="G231" s="235"/>
      <c r="H231" s="236" t="s">
        <v>523</v>
      </c>
      <c r="I231" s="239" t="s">
        <v>519</v>
      </c>
      <c r="J231" s="228" t="s">
        <v>557</v>
      </c>
      <c r="K231" s="229">
        <v>8.1999999999999993</v>
      </c>
      <c r="L231" s="230">
        <v>7.85</v>
      </c>
      <c r="N231" s="248" t="s">
        <v>790</v>
      </c>
      <c r="O231" s="249">
        <v>11.874407742901015</v>
      </c>
      <c r="P231" s="256">
        <v>1420751.37332</v>
      </c>
    </row>
    <row r="232" spans="1:16">
      <c r="A232" s="208">
        <v>38628</v>
      </c>
      <c r="B232" s="208">
        <v>38242</v>
      </c>
      <c r="C232" s="208" t="s">
        <v>502</v>
      </c>
      <c r="D232" s="210">
        <v>8.8000000000000007</v>
      </c>
      <c r="F232" s="224"/>
      <c r="G232" s="235" t="s">
        <v>537</v>
      </c>
      <c r="H232" s="236" t="s">
        <v>525</v>
      </c>
      <c r="I232" s="239" t="s">
        <v>519</v>
      </c>
      <c r="J232" s="228" t="s">
        <v>549</v>
      </c>
      <c r="K232" s="229">
        <v>8.18</v>
      </c>
      <c r="L232" s="230">
        <v>8.33</v>
      </c>
      <c r="N232" s="248" t="s">
        <v>791</v>
      </c>
      <c r="O232" s="249">
        <v>12.880563658225171</v>
      </c>
      <c r="P232" s="256">
        <v>742377.28620000009</v>
      </c>
    </row>
    <row r="233" spans="1:16">
      <c r="A233" s="208">
        <v>38630</v>
      </c>
      <c r="B233" s="208">
        <v>38242</v>
      </c>
      <c r="C233" s="208" t="s">
        <v>500</v>
      </c>
      <c r="D233" s="210">
        <v>8.25</v>
      </c>
      <c r="F233" s="224"/>
      <c r="G233" s="235"/>
      <c r="H233" s="236" t="s">
        <v>528</v>
      </c>
      <c r="I233" s="239" t="s">
        <v>519</v>
      </c>
      <c r="J233" s="228" t="s">
        <v>550</v>
      </c>
      <c r="K233" s="229">
        <v>8.3000000000000007</v>
      </c>
      <c r="L233" s="230">
        <v>8.91</v>
      </c>
      <c r="N233" s="248" t="s">
        <v>792</v>
      </c>
      <c r="O233" s="249">
        <v>11.550286691742798</v>
      </c>
      <c r="P233" s="256">
        <v>1573544.6499400001</v>
      </c>
    </row>
    <row r="234" spans="1:16">
      <c r="A234" s="208">
        <v>38635</v>
      </c>
      <c r="B234" s="208">
        <v>38242</v>
      </c>
      <c r="C234" s="208" t="s">
        <v>502</v>
      </c>
      <c r="D234" s="210">
        <v>0</v>
      </c>
      <c r="F234" s="224"/>
      <c r="G234" s="235"/>
      <c r="H234" s="236" t="s">
        <v>530</v>
      </c>
      <c r="I234" s="239" t="s">
        <v>519</v>
      </c>
      <c r="J234" s="228" t="s">
        <v>551</v>
      </c>
      <c r="K234" s="229">
        <v>8.2799999999999994</v>
      </c>
      <c r="L234" s="230">
        <v>9.49</v>
      </c>
      <c r="N234" s="248" t="s">
        <v>793</v>
      </c>
      <c r="O234" s="249">
        <v>12.561146555029842</v>
      </c>
      <c r="P234" s="256">
        <v>1450181.9118299999</v>
      </c>
    </row>
    <row r="235" spans="1:16">
      <c r="A235" s="208">
        <v>38637</v>
      </c>
      <c r="B235" s="208">
        <v>38242</v>
      </c>
      <c r="C235" s="208" t="s">
        <v>500</v>
      </c>
      <c r="D235" s="210">
        <v>9.0500000000000007</v>
      </c>
      <c r="F235" s="224"/>
      <c r="G235" s="235"/>
      <c r="H235" s="236" t="s">
        <v>532</v>
      </c>
      <c r="I235" s="239" t="s">
        <v>519</v>
      </c>
      <c r="J235" s="228" t="s">
        <v>552</v>
      </c>
      <c r="K235" s="229">
        <v>8.3699999999999992</v>
      </c>
      <c r="L235" s="230">
        <v>8.64</v>
      </c>
      <c r="N235" s="248" t="s">
        <v>794</v>
      </c>
      <c r="O235" s="249">
        <v>12.571884640643455</v>
      </c>
      <c r="P235" s="256">
        <v>1252405.2219400001</v>
      </c>
    </row>
    <row r="236" spans="1:16">
      <c r="A236" s="208">
        <v>38643</v>
      </c>
      <c r="B236" s="208">
        <v>38242</v>
      </c>
      <c r="C236" s="208" t="s">
        <v>502</v>
      </c>
      <c r="D236" s="210">
        <v>9.0500000000000007</v>
      </c>
      <c r="F236" s="224"/>
      <c r="G236" s="235" t="s">
        <v>544</v>
      </c>
      <c r="H236" s="236" t="s">
        <v>534</v>
      </c>
      <c r="I236" s="239" t="s">
        <v>519</v>
      </c>
      <c r="J236" s="228" t="s">
        <v>518</v>
      </c>
      <c r="K236" s="229">
        <v>8.3699999999999992</v>
      </c>
      <c r="L236" s="230">
        <v>8.6300000000000008</v>
      </c>
      <c r="N236" s="248" t="s">
        <v>795</v>
      </c>
      <c r="O236" s="249">
        <v>13.387693939529301</v>
      </c>
      <c r="P236" s="256">
        <v>1035313.57239</v>
      </c>
    </row>
    <row r="237" spans="1:16">
      <c r="A237" s="208">
        <v>38651</v>
      </c>
      <c r="B237" s="208">
        <v>38242</v>
      </c>
      <c r="C237" s="208" t="s">
        <v>500</v>
      </c>
      <c r="D237" s="210">
        <v>8.84</v>
      </c>
      <c r="F237" s="224"/>
      <c r="G237" s="235"/>
      <c r="H237" s="236" t="s">
        <v>538</v>
      </c>
      <c r="I237" s="239" t="s">
        <v>519</v>
      </c>
      <c r="J237" s="228" t="s">
        <v>521</v>
      </c>
      <c r="K237" s="229">
        <v>8.39</v>
      </c>
      <c r="L237" s="230">
        <v>10.130000000000001</v>
      </c>
      <c r="N237" s="248" t="s">
        <v>796</v>
      </c>
      <c r="O237" s="249">
        <v>13.000831381003257</v>
      </c>
      <c r="P237" s="256">
        <v>1175378.6113700001</v>
      </c>
    </row>
    <row r="238" spans="1:16">
      <c r="A238" s="208">
        <v>38656</v>
      </c>
      <c r="B238" s="208">
        <v>38242</v>
      </c>
      <c r="C238" s="208" t="s">
        <v>502</v>
      </c>
      <c r="D238" s="210">
        <v>0</v>
      </c>
      <c r="F238" s="224"/>
      <c r="G238" s="235"/>
      <c r="H238" s="236" t="s">
        <v>539</v>
      </c>
      <c r="I238" s="239" t="s">
        <v>519</v>
      </c>
      <c r="J238" s="228" t="s">
        <v>540</v>
      </c>
      <c r="K238" s="229">
        <v>8.33</v>
      </c>
      <c r="L238" s="230">
        <v>9.18</v>
      </c>
      <c r="N238" s="248" t="s">
        <v>797</v>
      </c>
      <c r="O238" s="249">
        <v>13.213382398372035</v>
      </c>
      <c r="P238" s="256">
        <v>1400658.8141300001</v>
      </c>
    </row>
    <row r="239" spans="1:16">
      <c r="A239" s="208">
        <v>38665</v>
      </c>
      <c r="B239" s="208">
        <v>38242</v>
      </c>
      <c r="C239" s="208" t="s">
        <v>500</v>
      </c>
      <c r="D239" s="210">
        <v>9.07</v>
      </c>
      <c r="F239" s="224"/>
      <c r="G239" s="235"/>
      <c r="H239" s="236" t="s">
        <v>541</v>
      </c>
      <c r="I239" s="239" t="s">
        <v>519</v>
      </c>
      <c r="J239" s="228" t="s">
        <v>524</v>
      </c>
      <c r="K239" s="229">
        <v>8.26</v>
      </c>
      <c r="L239" s="230">
        <v>8.52</v>
      </c>
      <c r="N239" s="248" t="s">
        <v>798</v>
      </c>
      <c r="O239" s="249">
        <v>11.658589626669173</v>
      </c>
      <c r="P239" s="256">
        <v>1381679.4060500001</v>
      </c>
    </row>
    <row r="240" spans="1:16">
      <c r="A240" s="208">
        <v>38671</v>
      </c>
      <c r="B240" s="208">
        <v>38242</v>
      </c>
      <c r="C240" s="208" t="s">
        <v>502</v>
      </c>
      <c r="D240" s="210">
        <v>9.07</v>
      </c>
      <c r="F240" s="224"/>
      <c r="G240" s="235" t="s">
        <v>548</v>
      </c>
      <c r="H240" s="236" t="s">
        <v>542</v>
      </c>
      <c r="I240" s="239" t="s">
        <v>519</v>
      </c>
      <c r="J240" s="228" t="s">
        <v>527</v>
      </c>
      <c r="K240" s="229">
        <v>8.33</v>
      </c>
      <c r="L240" s="230">
        <v>8.58</v>
      </c>
      <c r="N240" s="248" t="s">
        <v>799</v>
      </c>
      <c r="O240" s="249">
        <v>12.215274561256704</v>
      </c>
      <c r="P240" s="256">
        <v>1505724.9128</v>
      </c>
    </row>
    <row r="241" spans="1:16">
      <c r="A241" s="208">
        <v>38679</v>
      </c>
      <c r="B241" s="208">
        <v>38242</v>
      </c>
      <c r="C241" s="208" t="s">
        <v>500</v>
      </c>
      <c r="D241" s="210">
        <v>8.2899999999999991</v>
      </c>
      <c r="F241" s="224"/>
      <c r="G241" s="235"/>
      <c r="H241" s="236" t="s">
        <v>543</v>
      </c>
      <c r="I241" s="239" t="s">
        <v>519</v>
      </c>
      <c r="J241" s="228" t="s">
        <v>529</v>
      </c>
      <c r="K241" s="229">
        <v>8.34</v>
      </c>
      <c r="L241" s="230">
        <v>8.5</v>
      </c>
      <c r="N241" s="248" t="s">
        <v>800</v>
      </c>
      <c r="O241" s="249">
        <v>13.124927222485935</v>
      </c>
      <c r="P241" s="256">
        <v>1313781.9143200002</v>
      </c>
    </row>
    <row r="242" spans="1:16" ht="15.75" thickBot="1">
      <c r="A242" s="208">
        <v>38684</v>
      </c>
      <c r="B242" s="208">
        <v>38242</v>
      </c>
      <c r="C242" s="208" t="s">
        <v>502</v>
      </c>
      <c r="D242" s="210">
        <v>0</v>
      </c>
      <c r="F242" s="224"/>
      <c r="G242" s="235"/>
      <c r="H242" s="236" t="s">
        <v>546</v>
      </c>
      <c r="I242" s="239" t="s">
        <v>519</v>
      </c>
      <c r="J242" s="228" t="s">
        <v>531</v>
      </c>
      <c r="K242" s="229">
        <v>8.41</v>
      </c>
      <c r="L242" s="230">
        <v>8.24</v>
      </c>
      <c r="N242" s="248" t="s">
        <v>801</v>
      </c>
      <c r="O242" s="249">
        <v>12.820356995257116</v>
      </c>
      <c r="P242" s="256">
        <v>1743433.2306100002</v>
      </c>
    </row>
    <row r="243" spans="1:16" ht="15.75" thickBot="1">
      <c r="A243" s="643" t="s">
        <v>495</v>
      </c>
      <c r="B243" s="644"/>
      <c r="C243" s="645"/>
      <c r="D243" s="211">
        <f>AVERAGE(D193:D242)</f>
        <v>9.14</v>
      </c>
      <c r="F243" s="224"/>
      <c r="G243" s="235"/>
      <c r="H243" s="236" t="s">
        <v>547</v>
      </c>
      <c r="I243" s="239" t="s">
        <v>519</v>
      </c>
      <c r="J243" s="228" t="s">
        <v>533</v>
      </c>
      <c r="K243" s="229">
        <v>8.41</v>
      </c>
      <c r="L243" s="230">
        <v>8.69</v>
      </c>
      <c r="N243" s="248" t="s">
        <v>802</v>
      </c>
      <c r="O243" s="249">
        <v>11.641516630854609</v>
      </c>
      <c r="P243" s="256">
        <v>1221190.3275299999</v>
      </c>
    </row>
    <row r="244" spans="1:16">
      <c r="A244" s="208">
        <v>38728</v>
      </c>
      <c r="B244" s="208">
        <v>38557</v>
      </c>
      <c r="C244" s="208" t="s">
        <v>503</v>
      </c>
      <c r="D244" s="210">
        <v>8.4</v>
      </c>
      <c r="F244" s="224"/>
      <c r="G244" s="235"/>
      <c r="H244" s="236" t="s">
        <v>555</v>
      </c>
      <c r="I244" s="239" t="s">
        <v>519</v>
      </c>
      <c r="J244" s="228" t="s">
        <v>536</v>
      </c>
      <c r="K244" s="229">
        <v>8.3000000000000007</v>
      </c>
      <c r="L244" s="230">
        <v>7.57</v>
      </c>
      <c r="N244" s="248" t="s">
        <v>803</v>
      </c>
      <c r="O244" s="249">
        <v>12.861944435324352</v>
      </c>
      <c r="P244" s="256">
        <v>1108749.6721199998</v>
      </c>
    </row>
    <row r="245" spans="1:16">
      <c r="A245" s="208">
        <v>38733</v>
      </c>
      <c r="B245" s="208">
        <v>38557</v>
      </c>
      <c r="C245" s="208" t="s">
        <v>504</v>
      </c>
      <c r="D245" s="210">
        <v>8.6229999999999993</v>
      </c>
      <c r="F245" s="224"/>
      <c r="G245" s="235" t="s">
        <v>553</v>
      </c>
      <c r="H245" s="236" t="s">
        <v>557</v>
      </c>
      <c r="I245" s="239" t="s">
        <v>519</v>
      </c>
      <c r="J245" s="228" t="s">
        <v>549</v>
      </c>
      <c r="K245" s="229">
        <v>8.3699999999999992</v>
      </c>
      <c r="L245" s="230">
        <v>7.55</v>
      </c>
      <c r="N245" s="248" t="s">
        <v>804</v>
      </c>
      <c r="O245" s="249">
        <v>12.792979609787231</v>
      </c>
      <c r="P245" s="256">
        <v>1261587.1313600002</v>
      </c>
    </row>
    <row r="246" spans="1:16">
      <c r="A246" s="208">
        <v>38742</v>
      </c>
      <c r="B246" s="208">
        <v>38557</v>
      </c>
      <c r="C246" s="208" t="s">
        <v>503</v>
      </c>
      <c r="D246" s="210">
        <v>8.18</v>
      </c>
      <c r="F246" s="224"/>
      <c r="G246" s="235"/>
      <c r="H246" s="236" t="s">
        <v>528</v>
      </c>
      <c r="I246" s="239" t="s">
        <v>519</v>
      </c>
      <c r="J246" s="228" t="s">
        <v>550</v>
      </c>
      <c r="K246" s="229">
        <v>8.1300000000000008</v>
      </c>
      <c r="L246" s="230">
        <v>7.48</v>
      </c>
      <c r="N246" s="248" t="s">
        <v>805</v>
      </c>
      <c r="O246" s="249">
        <v>12.673661458603052</v>
      </c>
      <c r="P246" s="256">
        <v>1437168.10592</v>
      </c>
    </row>
    <row r="247" spans="1:16">
      <c r="A247" s="208">
        <v>38747</v>
      </c>
      <c r="B247" s="208">
        <v>38557</v>
      </c>
      <c r="C247" s="208" t="s">
        <v>504</v>
      </c>
      <c r="D247" s="210">
        <v>8.2439999999999998</v>
      </c>
      <c r="F247" s="224"/>
      <c r="G247" s="235"/>
      <c r="H247" s="236" t="s">
        <v>530</v>
      </c>
      <c r="I247" s="239" t="s">
        <v>519</v>
      </c>
      <c r="J247" s="228" t="s">
        <v>551</v>
      </c>
      <c r="K247" s="229">
        <v>8.36</v>
      </c>
      <c r="L247" s="230">
        <v>7.87</v>
      </c>
      <c r="N247" s="248" t="s">
        <v>806</v>
      </c>
      <c r="O247" s="249">
        <v>12.985539635754909</v>
      </c>
      <c r="P247" s="256">
        <v>1547027.5301100002</v>
      </c>
    </row>
    <row r="248" spans="1:16">
      <c r="A248" s="208">
        <v>38756</v>
      </c>
      <c r="B248" s="208">
        <v>38557</v>
      </c>
      <c r="C248" s="208" t="s">
        <v>503</v>
      </c>
      <c r="D248" s="210">
        <v>7.84</v>
      </c>
      <c r="F248" s="224"/>
      <c r="G248" s="235"/>
      <c r="H248" s="236" t="s">
        <v>532</v>
      </c>
      <c r="I248" s="239" t="s">
        <v>519</v>
      </c>
      <c r="J248" s="228" t="s">
        <v>552</v>
      </c>
      <c r="K248" s="229">
        <v>8.34</v>
      </c>
      <c r="L248" s="230">
        <v>8.0299999999999994</v>
      </c>
      <c r="N248" s="248" t="s">
        <v>807</v>
      </c>
      <c r="O248" s="249">
        <v>12.314203289494447</v>
      </c>
      <c r="P248" s="256">
        <v>1222882.70704</v>
      </c>
    </row>
    <row r="249" spans="1:16">
      <c r="A249" s="208">
        <v>38761</v>
      </c>
      <c r="B249" s="208">
        <v>38557</v>
      </c>
      <c r="C249" s="208" t="s">
        <v>504</v>
      </c>
      <c r="D249" s="210">
        <v>7.9189999999999996</v>
      </c>
      <c r="F249" s="224"/>
      <c r="G249" s="235" t="s">
        <v>554</v>
      </c>
      <c r="H249" s="236" t="s">
        <v>534</v>
      </c>
      <c r="I249" s="239" t="s">
        <v>519</v>
      </c>
      <c r="J249" s="228" t="s">
        <v>545</v>
      </c>
      <c r="K249" s="229">
        <v>8.2899999999999991</v>
      </c>
      <c r="L249" s="230">
        <v>8.0500000000000007</v>
      </c>
      <c r="N249" s="248" t="s">
        <v>808</v>
      </c>
      <c r="O249" s="249">
        <v>13.121876713116265</v>
      </c>
      <c r="P249" s="256">
        <v>1238703.5115499999</v>
      </c>
    </row>
    <row r="250" spans="1:16">
      <c r="A250" s="208">
        <v>38770</v>
      </c>
      <c r="B250" s="208">
        <v>38557</v>
      </c>
      <c r="C250" s="208" t="s">
        <v>503</v>
      </c>
      <c r="D250" s="210">
        <v>7.49</v>
      </c>
      <c r="F250" s="224"/>
      <c r="G250" s="235"/>
      <c r="H250" s="236" t="s">
        <v>518</v>
      </c>
      <c r="I250" s="239" t="s">
        <v>519</v>
      </c>
      <c r="J250" s="228" t="s">
        <v>520</v>
      </c>
      <c r="K250" s="229">
        <v>8.4600000000000009</v>
      </c>
      <c r="L250" s="230">
        <v>7.93</v>
      </c>
      <c r="N250" s="248" t="s">
        <v>809</v>
      </c>
      <c r="O250" s="249">
        <v>12.849595802379275</v>
      </c>
      <c r="P250" s="256">
        <v>1098445.6612200001</v>
      </c>
    </row>
    <row r="251" spans="1:16">
      <c r="A251" s="208">
        <v>38775</v>
      </c>
      <c r="B251" s="208">
        <v>38557</v>
      </c>
      <c r="C251" s="208" t="s">
        <v>504</v>
      </c>
      <c r="D251" s="210">
        <v>7.5090000000000003</v>
      </c>
      <c r="F251" s="224"/>
      <c r="G251" s="235"/>
      <c r="H251" s="236" t="s">
        <v>521</v>
      </c>
      <c r="I251" s="239" t="s">
        <v>519</v>
      </c>
      <c r="J251" s="228" t="s">
        <v>522</v>
      </c>
      <c r="K251" s="229">
        <v>8.44</v>
      </c>
      <c r="L251" s="230">
        <v>8.52</v>
      </c>
      <c r="N251" s="248" t="s">
        <v>810</v>
      </c>
      <c r="O251" s="249">
        <v>13.029263182977317</v>
      </c>
      <c r="P251" s="256">
        <v>1710661.6358200002</v>
      </c>
    </row>
    <row r="252" spans="1:16">
      <c r="A252" s="208">
        <v>38784</v>
      </c>
      <c r="B252" s="208">
        <v>38557</v>
      </c>
      <c r="C252" s="208" t="s">
        <v>503</v>
      </c>
      <c r="D252" s="210">
        <v>7.4</v>
      </c>
      <c r="F252" s="224"/>
      <c r="G252" s="235"/>
      <c r="H252" s="236" t="s">
        <v>540</v>
      </c>
      <c r="I252" s="239" t="s">
        <v>519</v>
      </c>
      <c r="J252" s="228" t="s">
        <v>523</v>
      </c>
      <c r="K252" s="229">
        <v>8.3699999999999992</v>
      </c>
      <c r="L252" s="230">
        <v>9.25</v>
      </c>
      <c r="N252" s="248" t="s">
        <v>811</v>
      </c>
      <c r="O252" s="249">
        <v>12.655019401647513</v>
      </c>
      <c r="P252" s="256">
        <v>1312212.1934099998</v>
      </c>
    </row>
    <row r="253" spans="1:16">
      <c r="A253" s="208">
        <v>38789</v>
      </c>
      <c r="B253" s="208">
        <v>38557</v>
      </c>
      <c r="C253" s="208" t="s">
        <v>504</v>
      </c>
      <c r="D253" s="210">
        <v>0</v>
      </c>
      <c r="F253" s="224"/>
      <c r="G253" s="235"/>
      <c r="H253" s="236" t="s">
        <v>524</v>
      </c>
      <c r="I253" s="239" t="s">
        <v>519</v>
      </c>
      <c r="J253" s="228" t="s">
        <v>525</v>
      </c>
      <c r="K253" s="229">
        <v>8.52</v>
      </c>
      <c r="L253" s="230">
        <v>8.76</v>
      </c>
      <c r="N253" s="248" t="s">
        <v>812</v>
      </c>
      <c r="O253" s="249">
        <v>12.346867262119208</v>
      </c>
      <c r="P253" s="256">
        <v>1574772.7509999999</v>
      </c>
    </row>
    <row r="254" spans="1:16">
      <c r="A254" s="208">
        <v>38798</v>
      </c>
      <c r="B254" s="208">
        <v>38557</v>
      </c>
      <c r="C254" s="208" t="s">
        <v>503</v>
      </c>
      <c r="D254" s="210">
        <v>7.39</v>
      </c>
      <c r="F254" s="224"/>
      <c r="G254" s="235" t="s">
        <v>556</v>
      </c>
      <c r="H254" s="236" t="s">
        <v>527</v>
      </c>
      <c r="I254" s="239" t="s">
        <v>519</v>
      </c>
      <c r="J254" s="228" t="s">
        <v>528</v>
      </c>
      <c r="K254" s="229">
        <v>8.31</v>
      </c>
      <c r="L254" s="230">
        <v>8.5399999999999991</v>
      </c>
      <c r="N254" s="248" t="s">
        <v>813</v>
      </c>
      <c r="O254" s="249">
        <v>13.072376050208897</v>
      </c>
      <c r="P254" s="256">
        <v>1279874.3828399999</v>
      </c>
    </row>
    <row r="255" spans="1:16">
      <c r="A255" s="208">
        <v>38803</v>
      </c>
      <c r="B255" s="208">
        <v>38557</v>
      </c>
      <c r="C255" s="208" t="s">
        <v>504</v>
      </c>
      <c r="D255" s="210">
        <v>0</v>
      </c>
      <c r="F255" s="224"/>
      <c r="G255" s="235"/>
      <c r="H255" s="236" t="s">
        <v>529</v>
      </c>
      <c r="I255" s="239" t="s">
        <v>519</v>
      </c>
      <c r="J255" s="228" t="s">
        <v>530</v>
      </c>
      <c r="K255" s="229">
        <v>8.42</v>
      </c>
      <c r="L255" s="230">
        <v>8.3800000000000008</v>
      </c>
      <c r="N255" s="248" t="s">
        <v>814</v>
      </c>
      <c r="O255" s="249">
        <v>12.857728279211132</v>
      </c>
      <c r="P255" s="256">
        <v>1481053.65619</v>
      </c>
    </row>
    <row r="256" spans="1:16">
      <c r="A256" s="208">
        <v>38805</v>
      </c>
      <c r="B256" s="208">
        <v>38557</v>
      </c>
      <c r="C256" s="208" t="s">
        <v>503</v>
      </c>
      <c r="D256" s="210">
        <v>7.45</v>
      </c>
      <c r="F256" s="224"/>
      <c r="G256" s="235"/>
      <c r="H256" s="236" t="s">
        <v>531</v>
      </c>
      <c r="I256" s="239" t="s">
        <v>519</v>
      </c>
      <c r="J256" s="228" t="s">
        <v>532</v>
      </c>
      <c r="K256" s="229">
        <v>8.5299999999999994</v>
      </c>
      <c r="L256" s="230">
        <v>9.34</v>
      </c>
      <c r="N256" s="248" t="s">
        <v>815</v>
      </c>
      <c r="O256" s="249">
        <v>13.195060230713207</v>
      </c>
      <c r="P256" s="256">
        <v>1462011.9322599999</v>
      </c>
    </row>
    <row r="257" spans="1:16">
      <c r="A257" s="208">
        <v>38810</v>
      </c>
      <c r="B257" s="208">
        <v>38557</v>
      </c>
      <c r="C257" s="208" t="s">
        <v>504</v>
      </c>
      <c r="D257" s="210">
        <v>0</v>
      </c>
      <c r="F257" s="224"/>
      <c r="G257" s="235"/>
      <c r="H257" s="236" t="s">
        <v>533</v>
      </c>
      <c r="I257" s="239" t="s">
        <v>519</v>
      </c>
      <c r="J257" s="228" t="s">
        <v>534</v>
      </c>
      <c r="K257" s="229">
        <v>8.52</v>
      </c>
      <c r="L257" s="230">
        <v>8.91</v>
      </c>
      <c r="N257" s="248" t="s">
        <v>816</v>
      </c>
      <c r="O257" s="249">
        <v>12.823155546127053</v>
      </c>
      <c r="P257" s="256">
        <v>1369359.7303500001</v>
      </c>
    </row>
    <row r="258" spans="1:16">
      <c r="A258" s="208">
        <v>38833</v>
      </c>
      <c r="B258" s="208">
        <v>38557</v>
      </c>
      <c r="C258" s="208" t="s">
        <v>503</v>
      </c>
      <c r="D258" s="210">
        <v>8.7490000000000006</v>
      </c>
      <c r="F258" s="224"/>
      <c r="G258" s="235" t="s">
        <v>558</v>
      </c>
      <c r="H258" s="236" t="s">
        <v>536</v>
      </c>
      <c r="I258" s="239" t="s">
        <v>519</v>
      </c>
      <c r="J258" s="228" t="s">
        <v>538</v>
      </c>
      <c r="K258" s="229">
        <v>8.3800000000000008</v>
      </c>
      <c r="L258" s="230">
        <v>8.56</v>
      </c>
      <c r="N258" s="248" t="s">
        <v>817</v>
      </c>
      <c r="O258" s="249">
        <v>13.062572602469253</v>
      </c>
      <c r="P258" s="256">
        <v>1209647.9202699999</v>
      </c>
    </row>
    <row r="259" spans="1:16">
      <c r="A259" s="208">
        <v>38839</v>
      </c>
      <c r="B259" s="208">
        <v>38557</v>
      </c>
      <c r="C259" s="208" t="s">
        <v>504</v>
      </c>
      <c r="D259" s="210">
        <v>8.7590000000000003</v>
      </c>
      <c r="F259" s="224"/>
      <c r="G259" s="235"/>
      <c r="H259" s="236" t="s">
        <v>549</v>
      </c>
      <c r="I259" s="239" t="s">
        <v>519</v>
      </c>
      <c r="J259" s="228" t="s">
        <v>539</v>
      </c>
      <c r="K259" s="229">
        <v>8.5</v>
      </c>
      <c r="L259" s="230">
        <v>7.66</v>
      </c>
      <c r="N259" s="248" t="s">
        <v>818</v>
      </c>
      <c r="O259" s="249">
        <v>13.46519817600822</v>
      </c>
      <c r="P259" s="256">
        <v>1389221.7501700001</v>
      </c>
    </row>
    <row r="260" spans="1:16">
      <c r="A260" s="208">
        <v>38847</v>
      </c>
      <c r="B260" s="208">
        <v>38557</v>
      </c>
      <c r="C260" s="208" t="s">
        <v>503</v>
      </c>
      <c r="D260" s="210">
        <v>8.3699999999999992</v>
      </c>
      <c r="F260" s="224"/>
      <c r="G260" s="235"/>
      <c r="H260" s="236" t="s">
        <v>550</v>
      </c>
      <c r="I260" s="239" t="s">
        <v>519</v>
      </c>
      <c r="J260" s="228" t="s">
        <v>541</v>
      </c>
      <c r="K260" s="229">
        <v>8.36</v>
      </c>
      <c r="L260" s="230">
        <v>8.14</v>
      </c>
      <c r="N260" s="248" t="s">
        <v>819</v>
      </c>
      <c r="O260" s="249">
        <v>13.460844917976196</v>
      </c>
      <c r="P260" s="256">
        <v>1695992.49605</v>
      </c>
    </row>
    <row r="261" spans="1:16">
      <c r="A261" s="208">
        <v>38852</v>
      </c>
      <c r="B261" s="208">
        <v>38557</v>
      </c>
      <c r="C261" s="208" t="s">
        <v>504</v>
      </c>
      <c r="D261" s="210">
        <v>0</v>
      </c>
      <c r="F261" s="224"/>
      <c r="G261" s="235"/>
      <c r="H261" s="236" t="s">
        <v>551</v>
      </c>
      <c r="I261" s="239" t="s">
        <v>519</v>
      </c>
      <c r="J261" s="228" t="s">
        <v>542</v>
      </c>
      <c r="K261" s="229">
        <v>8.6300000000000008</v>
      </c>
      <c r="L261" s="230">
        <v>6.6</v>
      </c>
      <c r="N261" s="248" t="s">
        <v>820</v>
      </c>
      <c r="O261" s="249">
        <v>12.605757649363929</v>
      </c>
      <c r="P261" s="256">
        <v>1208109.9577899999</v>
      </c>
    </row>
    <row r="262" spans="1:16">
      <c r="A262" s="208">
        <v>38861</v>
      </c>
      <c r="B262" s="208">
        <v>38557</v>
      </c>
      <c r="C262" s="208" t="s">
        <v>503</v>
      </c>
      <c r="D262" s="210">
        <v>9.4700000000000006</v>
      </c>
      <c r="F262" s="224"/>
      <c r="G262" s="235" t="s">
        <v>559</v>
      </c>
      <c r="H262" s="236" t="s">
        <v>552</v>
      </c>
      <c r="I262" s="239" t="s">
        <v>519</v>
      </c>
      <c r="J262" s="228" t="s">
        <v>543</v>
      </c>
      <c r="K262" s="229">
        <v>8.59</v>
      </c>
      <c r="L262" s="230">
        <v>8.43</v>
      </c>
      <c r="N262" s="248" t="s">
        <v>821</v>
      </c>
      <c r="O262" s="249">
        <v>13.269541655954457</v>
      </c>
      <c r="P262" s="256">
        <v>1369897.1505100001</v>
      </c>
    </row>
    <row r="263" spans="1:16">
      <c r="A263" s="208">
        <v>38867</v>
      </c>
      <c r="B263" s="208">
        <v>38557</v>
      </c>
      <c r="C263" s="208" t="s">
        <v>504</v>
      </c>
      <c r="D263" s="210">
        <v>9.6069999999999993</v>
      </c>
      <c r="F263" s="224"/>
      <c r="G263" s="235"/>
      <c r="H263" s="236" t="s">
        <v>545</v>
      </c>
      <c r="I263" s="239" t="s">
        <v>519</v>
      </c>
      <c r="J263" s="228" t="s">
        <v>546</v>
      </c>
      <c r="K263" s="229">
        <v>8.58</v>
      </c>
      <c r="L263" s="230">
        <v>7.66</v>
      </c>
      <c r="N263" s="248" t="s">
        <v>822</v>
      </c>
      <c r="O263" s="249">
        <v>13.680108902980125</v>
      </c>
      <c r="P263" s="256">
        <v>1115689.6980900001</v>
      </c>
    </row>
    <row r="264" spans="1:16">
      <c r="A264" s="208">
        <v>38882</v>
      </c>
      <c r="B264" s="208">
        <v>38557</v>
      </c>
      <c r="C264" s="208" t="s">
        <v>503</v>
      </c>
      <c r="D264" s="210">
        <v>10.18</v>
      </c>
      <c r="F264" s="224"/>
      <c r="G264" s="235"/>
      <c r="H264" s="236" t="s">
        <v>520</v>
      </c>
      <c r="I264" s="239" t="s">
        <v>519</v>
      </c>
      <c r="J264" s="228" t="s">
        <v>547</v>
      </c>
      <c r="K264" s="229">
        <v>8.6199999999999992</v>
      </c>
      <c r="L264" s="230">
        <v>7.31</v>
      </c>
      <c r="N264" s="248" t="s">
        <v>823</v>
      </c>
      <c r="O264" s="249">
        <v>14.156010461640035</v>
      </c>
      <c r="P264" s="256">
        <v>1687885.4063300001</v>
      </c>
    </row>
    <row r="265" spans="1:16">
      <c r="A265" s="208">
        <v>38888</v>
      </c>
      <c r="B265" s="208">
        <v>38557</v>
      </c>
      <c r="C265" s="208" t="s">
        <v>504</v>
      </c>
      <c r="D265" s="210">
        <v>0</v>
      </c>
      <c r="F265" s="224"/>
      <c r="G265" s="235"/>
      <c r="H265" s="236" t="s">
        <v>522</v>
      </c>
      <c r="I265" s="239" t="s">
        <v>519</v>
      </c>
      <c r="J265" s="228" t="s">
        <v>555</v>
      </c>
      <c r="K265" s="229">
        <v>8.6</v>
      </c>
      <c r="L265" s="230">
        <v>8.6</v>
      </c>
      <c r="N265" s="248" t="s">
        <v>824</v>
      </c>
      <c r="O265" s="249">
        <v>13.069953868677034</v>
      </c>
      <c r="P265" s="256">
        <v>1625252.4906000001</v>
      </c>
    </row>
    <row r="266" spans="1:16">
      <c r="A266" s="208">
        <v>38896</v>
      </c>
      <c r="B266" s="208">
        <v>38557</v>
      </c>
      <c r="C266" s="208" t="s">
        <v>503</v>
      </c>
      <c r="D266" s="210">
        <v>11.63</v>
      </c>
      <c r="F266" s="224"/>
      <c r="G266" s="235"/>
      <c r="H266" s="236" t="s">
        <v>523</v>
      </c>
      <c r="I266" s="239" t="s">
        <v>519</v>
      </c>
      <c r="J266" s="228" t="s">
        <v>557</v>
      </c>
      <c r="K266" s="229">
        <v>8.65</v>
      </c>
      <c r="L266" s="230">
        <v>8.8800000000000008</v>
      </c>
      <c r="N266" s="248" t="s">
        <v>825</v>
      </c>
      <c r="O266" s="249">
        <v>13.251403279129534</v>
      </c>
      <c r="P266" s="256">
        <v>1405412.8642500001</v>
      </c>
    </row>
    <row r="267" spans="1:16">
      <c r="A267" s="208">
        <v>38902</v>
      </c>
      <c r="B267" s="208">
        <v>38557</v>
      </c>
      <c r="C267" s="208" t="s">
        <v>504</v>
      </c>
      <c r="D267" s="210">
        <v>11.597</v>
      </c>
      <c r="F267" s="224"/>
      <c r="G267" s="235" t="s">
        <v>560</v>
      </c>
      <c r="H267" s="236" t="s">
        <v>527</v>
      </c>
      <c r="I267" s="239" t="s">
        <v>519</v>
      </c>
      <c r="J267" s="228" t="s">
        <v>528</v>
      </c>
      <c r="K267" s="229">
        <v>8.5500000000000007</v>
      </c>
      <c r="L267" s="230">
        <v>8.99</v>
      </c>
      <c r="N267" s="248" t="s">
        <v>826</v>
      </c>
      <c r="O267" s="249">
        <v>13.096150214589208</v>
      </c>
      <c r="P267" s="256">
        <v>1944511.9396600001</v>
      </c>
    </row>
    <row r="268" spans="1:16">
      <c r="A268" s="208">
        <v>38910</v>
      </c>
      <c r="B268" s="208">
        <v>38557</v>
      </c>
      <c r="C268" s="208" t="s">
        <v>503</v>
      </c>
      <c r="D268" s="210">
        <v>10.24</v>
      </c>
      <c r="F268" s="224"/>
      <c r="G268" s="235"/>
      <c r="H268" s="236" t="s">
        <v>529</v>
      </c>
      <c r="I268" s="239" t="s">
        <v>519</v>
      </c>
      <c r="J268" s="228" t="s">
        <v>530</v>
      </c>
      <c r="K268" s="229">
        <v>8.75</v>
      </c>
      <c r="L268" s="230">
        <v>8.8699999999999992</v>
      </c>
      <c r="N268" s="248" t="s">
        <v>827</v>
      </c>
      <c r="O268" s="249">
        <v>13.789145214521469</v>
      </c>
      <c r="P268" s="256">
        <v>1376523.77431</v>
      </c>
    </row>
    <row r="269" spans="1:16" ht="15.75" thickBot="1">
      <c r="A269" s="208">
        <v>38915</v>
      </c>
      <c r="B269" s="208">
        <v>38557</v>
      </c>
      <c r="C269" s="208" t="s">
        <v>504</v>
      </c>
      <c r="D269" s="210">
        <v>0</v>
      </c>
      <c r="F269" s="224"/>
      <c r="G269" s="235"/>
      <c r="H269" s="236" t="s">
        <v>531</v>
      </c>
      <c r="I269" s="239" t="s">
        <v>519</v>
      </c>
      <c r="J269" s="228" t="s">
        <v>532</v>
      </c>
      <c r="K269" s="229">
        <v>8.7100000000000009</v>
      </c>
      <c r="L269" s="230">
        <v>8.7799999999999994</v>
      </c>
      <c r="N269" s="248" t="s">
        <v>828</v>
      </c>
      <c r="O269" s="249">
        <v>13.714663524528913</v>
      </c>
      <c r="P269" s="256">
        <v>1197491.7762799999</v>
      </c>
    </row>
    <row r="270" spans="1:16" ht="16.5" thickBot="1">
      <c r="A270" s="208">
        <v>38924</v>
      </c>
      <c r="B270" s="208">
        <v>38557</v>
      </c>
      <c r="C270" s="208" t="s">
        <v>503</v>
      </c>
      <c r="D270" s="210">
        <v>9.9700000000000006</v>
      </c>
      <c r="F270" s="224"/>
      <c r="G270" s="235"/>
      <c r="H270" s="236" t="s">
        <v>533</v>
      </c>
      <c r="I270" s="239" t="s">
        <v>519</v>
      </c>
      <c r="J270" s="228" t="s">
        <v>534</v>
      </c>
      <c r="K270" s="229">
        <v>8.69</v>
      </c>
      <c r="L270" s="230">
        <v>9.01</v>
      </c>
      <c r="N270" s="251" t="s">
        <v>561</v>
      </c>
      <c r="O270" s="252">
        <f>AVERAGE(O217:O269)</f>
        <v>12.812347065435464</v>
      </c>
      <c r="P270" s="256"/>
    </row>
    <row r="271" spans="1:16" ht="15.75" thickBot="1">
      <c r="A271" s="208">
        <v>38929</v>
      </c>
      <c r="B271" s="208">
        <v>38557</v>
      </c>
      <c r="C271" s="208" t="s">
        <v>504</v>
      </c>
      <c r="D271" s="210">
        <v>10.013</v>
      </c>
      <c r="F271" s="640" t="s">
        <v>561</v>
      </c>
      <c r="G271" s="641"/>
      <c r="H271" s="641"/>
      <c r="I271" s="641"/>
      <c r="J271" s="641"/>
      <c r="K271" s="642"/>
      <c r="L271" s="234">
        <f>AVERAGE(L219:L270)</f>
        <v>8.5350000000000019</v>
      </c>
      <c r="N271" s="248" t="s">
        <v>829</v>
      </c>
      <c r="O271" s="249">
        <v>12.310061882427343</v>
      </c>
      <c r="P271" s="256">
        <v>1065201.5492700001</v>
      </c>
    </row>
    <row r="272" spans="1:16">
      <c r="A272" s="208">
        <v>38973</v>
      </c>
      <c r="B272" s="208">
        <v>38557</v>
      </c>
      <c r="C272" s="208" t="s">
        <v>503</v>
      </c>
      <c r="D272" s="210">
        <v>9.35</v>
      </c>
      <c r="F272" s="240">
        <v>2004</v>
      </c>
      <c r="G272" s="235" t="s">
        <v>517</v>
      </c>
      <c r="H272" s="236" t="s">
        <v>536</v>
      </c>
      <c r="I272" s="239" t="s">
        <v>519</v>
      </c>
      <c r="J272" s="228" t="s">
        <v>518</v>
      </c>
      <c r="K272" s="229">
        <v>8.59</v>
      </c>
      <c r="L272" s="230">
        <v>9.02</v>
      </c>
      <c r="N272" s="248" t="s">
        <v>830</v>
      </c>
      <c r="O272" s="249">
        <v>12.431444120792762</v>
      </c>
      <c r="P272" s="256">
        <v>1233244.1956499999</v>
      </c>
    </row>
    <row r="273" spans="1:16">
      <c r="A273" s="208">
        <v>38978</v>
      </c>
      <c r="B273" s="208">
        <v>38557</v>
      </c>
      <c r="C273" s="208" t="s">
        <v>504</v>
      </c>
      <c r="D273" s="210">
        <v>0</v>
      </c>
      <c r="F273" s="240"/>
      <c r="G273" s="235"/>
      <c r="H273" s="236" t="s">
        <v>538</v>
      </c>
      <c r="I273" s="239" t="s">
        <v>519</v>
      </c>
      <c r="J273" s="228" t="s">
        <v>521</v>
      </c>
      <c r="K273" s="229">
        <v>8.51</v>
      </c>
      <c r="L273" s="230">
        <v>8.77</v>
      </c>
      <c r="N273" s="248" t="s">
        <v>831</v>
      </c>
      <c r="O273" s="249">
        <v>12.901225482452837</v>
      </c>
      <c r="P273" s="256">
        <v>1295464.2462299999</v>
      </c>
    </row>
    <row r="274" spans="1:16">
      <c r="A274" s="208">
        <v>39001</v>
      </c>
      <c r="B274" s="208">
        <v>38557</v>
      </c>
      <c r="C274" s="208" t="s">
        <v>503</v>
      </c>
      <c r="D274" s="210">
        <v>9.4290000000000003</v>
      </c>
      <c r="F274" s="240"/>
      <c r="G274" s="235"/>
      <c r="H274" s="236" t="s">
        <v>539</v>
      </c>
      <c r="I274" s="239" t="s">
        <v>519</v>
      </c>
      <c r="J274" s="228" t="s">
        <v>540</v>
      </c>
      <c r="K274" s="229">
        <v>8.68</v>
      </c>
      <c r="L274" s="230">
        <v>9.94</v>
      </c>
      <c r="N274" s="248" t="s">
        <v>832</v>
      </c>
      <c r="O274" s="249">
        <v>13.383435071143056</v>
      </c>
      <c r="P274" s="256">
        <v>1530417.4455599999</v>
      </c>
    </row>
    <row r="275" spans="1:16">
      <c r="A275" s="208">
        <v>39007</v>
      </c>
      <c r="B275" s="208">
        <v>38557</v>
      </c>
      <c r="C275" s="208" t="s">
        <v>504</v>
      </c>
      <c r="D275" s="210">
        <v>9.4700000000000006</v>
      </c>
      <c r="F275" s="240"/>
      <c r="G275" s="235"/>
      <c r="H275" s="236" t="s">
        <v>541</v>
      </c>
      <c r="I275" s="239" t="s">
        <v>519</v>
      </c>
      <c r="J275" s="228" t="s">
        <v>524</v>
      </c>
      <c r="K275" s="229">
        <v>8.66</v>
      </c>
      <c r="L275" s="230">
        <v>9.1199999999999992</v>
      </c>
      <c r="N275" s="248" t="s">
        <v>833</v>
      </c>
      <c r="O275" s="249">
        <v>13.715535168630746</v>
      </c>
      <c r="P275" s="256">
        <v>1045627.7179699999</v>
      </c>
    </row>
    <row r="276" spans="1:16">
      <c r="A276" s="208">
        <v>39029</v>
      </c>
      <c r="B276" s="208">
        <v>38557</v>
      </c>
      <c r="C276" s="208" t="s">
        <v>503</v>
      </c>
      <c r="D276" s="210">
        <v>8.9190000000000005</v>
      </c>
      <c r="F276" s="240"/>
      <c r="G276" s="235" t="s">
        <v>526</v>
      </c>
      <c r="H276" s="236" t="s">
        <v>542</v>
      </c>
      <c r="I276" s="239" t="s">
        <v>519</v>
      </c>
      <c r="J276" s="228" t="s">
        <v>527</v>
      </c>
      <c r="K276" s="229">
        <v>8.5299999999999994</v>
      </c>
      <c r="L276" s="230">
        <v>8.83</v>
      </c>
      <c r="N276" s="248" t="s">
        <v>834</v>
      </c>
      <c r="O276" s="249">
        <v>13.145588631664651</v>
      </c>
      <c r="P276" s="256">
        <v>1338141.6700599999</v>
      </c>
    </row>
    <row r="277" spans="1:16" ht="15.75" thickBot="1">
      <c r="A277" s="208">
        <v>39035</v>
      </c>
      <c r="B277" s="208">
        <v>38557</v>
      </c>
      <c r="C277" s="208" t="s">
        <v>504</v>
      </c>
      <c r="D277" s="210">
        <v>8.9280000000000008</v>
      </c>
      <c r="F277" s="240"/>
      <c r="G277" s="235"/>
      <c r="H277" s="236" t="s">
        <v>543</v>
      </c>
      <c r="I277" s="239" t="s">
        <v>519</v>
      </c>
      <c r="J277" s="228" t="s">
        <v>529</v>
      </c>
      <c r="K277" s="229">
        <v>8.77</v>
      </c>
      <c r="L277" s="230">
        <v>8.91</v>
      </c>
      <c r="N277" s="248" t="s">
        <v>835</v>
      </c>
      <c r="O277" s="249">
        <v>13.711135326038072</v>
      </c>
      <c r="P277" s="256">
        <v>1325767.3722999999</v>
      </c>
    </row>
    <row r="278" spans="1:16" ht="15.75" thickBot="1">
      <c r="A278" s="643" t="s">
        <v>495</v>
      </c>
      <c r="B278" s="644"/>
      <c r="C278" s="645"/>
      <c r="D278" s="211">
        <f>AVERAGE(D244:D277)</f>
        <v>7.0919411764705904</v>
      </c>
      <c r="F278" s="240"/>
      <c r="G278" s="235"/>
      <c r="H278" s="236" t="s">
        <v>546</v>
      </c>
      <c r="I278" s="239" t="s">
        <v>519</v>
      </c>
      <c r="J278" s="228" t="s">
        <v>531</v>
      </c>
      <c r="K278" s="229">
        <v>8.57</v>
      </c>
      <c r="L278" s="230">
        <v>8.86</v>
      </c>
      <c r="N278" s="248" t="s">
        <v>836</v>
      </c>
      <c r="O278" s="249">
        <v>13.548864049959596</v>
      </c>
      <c r="P278" s="256">
        <v>1603244.5546399998</v>
      </c>
    </row>
    <row r="279" spans="1:16">
      <c r="A279" s="208">
        <v>39092</v>
      </c>
      <c r="B279" s="208">
        <v>38557</v>
      </c>
      <c r="C279" s="208" t="s">
        <v>503</v>
      </c>
      <c r="D279" s="210">
        <v>9.3800000000000008</v>
      </c>
      <c r="F279" s="240"/>
      <c r="G279" s="235"/>
      <c r="H279" s="236" t="s">
        <v>547</v>
      </c>
      <c r="I279" s="239" t="s">
        <v>519</v>
      </c>
      <c r="J279" s="228" t="s">
        <v>533</v>
      </c>
      <c r="K279" s="229">
        <v>8.5500000000000007</v>
      </c>
      <c r="L279" s="230">
        <v>8.94</v>
      </c>
      <c r="N279" s="248" t="s">
        <v>837</v>
      </c>
      <c r="O279" s="249">
        <v>12.766113458535379</v>
      </c>
      <c r="P279" s="256">
        <v>1370073.0153899998</v>
      </c>
    </row>
    <row r="280" spans="1:16">
      <c r="A280" s="208">
        <v>39097</v>
      </c>
      <c r="B280" s="208">
        <v>38557</v>
      </c>
      <c r="C280" s="208" t="s">
        <v>504</v>
      </c>
      <c r="D280" s="210">
        <v>9.3789999999999996</v>
      </c>
      <c r="F280" s="240"/>
      <c r="G280" s="235"/>
      <c r="H280" s="236" t="s">
        <v>555</v>
      </c>
      <c r="I280" s="239" t="s">
        <v>519</v>
      </c>
      <c r="J280" s="228" t="s">
        <v>536</v>
      </c>
      <c r="K280" s="229">
        <v>8.5</v>
      </c>
      <c r="L280" s="230">
        <v>8.8800000000000008</v>
      </c>
      <c r="N280" s="248" t="s">
        <v>838</v>
      </c>
      <c r="O280" s="249">
        <v>13.42105460979997</v>
      </c>
      <c r="P280" s="256">
        <v>1298108.68621</v>
      </c>
    </row>
    <row r="281" spans="1:16">
      <c r="A281" s="208">
        <v>39106</v>
      </c>
      <c r="B281" s="208">
        <v>38557</v>
      </c>
      <c r="C281" s="208" t="s">
        <v>503</v>
      </c>
      <c r="D281" s="210">
        <v>9.1199999999999992</v>
      </c>
      <c r="F281" s="240"/>
      <c r="G281" s="235" t="s">
        <v>535</v>
      </c>
      <c r="H281" s="236" t="s">
        <v>527</v>
      </c>
      <c r="I281" s="239" t="s">
        <v>519</v>
      </c>
      <c r="J281" s="228" t="s">
        <v>528</v>
      </c>
      <c r="K281" s="229">
        <v>8.61</v>
      </c>
      <c r="L281" s="230">
        <v>9</v>
      </c>
      <c r="N281" s="248" t="s">
        <v>839</v>
      </c>
      <c r="O281" s="249">
        <v>13.352847490199004</v>
      </c>
      <c r="P281" s="256">
        <v>1450511.26257</v>
      </c>
    </row>
    <row r="282" spans="1:16">
      <c r="A282" s="208">
        <v>39111</v>
      </c>
      <c r="B282" s="208">
        <v>38557</v>
      </c>
      <c r="C282" s="208" t="s">
        <v>504</v>
      </c>
      <c r="D282" s="210">
        <v>0</v>
      </c>
      <c r="F282" s="240"/>
      <c r="G282" s="235"/>
      <c r="H282" s="236" t="s">
        <v>529</v>
      </c>
      <c r="I282" s="239" t="s">
        <v>519</v>
      </c>
      <c r="J282" s="228" t="s">
        <v>530</v>
      </c>
      <c r="K282" s="229">
        <v>8.5399999999999991</v>
      </c>
      <c r="L282" s="230">
        <v>8.65</v>
      </c>
      <c r="N282" s="248" t="s">
        <v>840</v>
      </c>
      <c r="O282" s="249">
        <v>13.049594173622236</v>
      </c>
      <c r="P282" s="256">
        <v>1378204.3488899998</v>
      </c>
    </row>
    <row r="283" spans="1:16">
      <c r="A283" s="208">
        <v>39127</v>
      </c>
      <c r="B283" s="208">
        <v>38557</v>
      </c>
      <c r="C283" s="208" t="s">
        <v>503</v>
      </c>
      <c r="D283" s="210">
        <v>9.3580000000000005</v>
      </c>
      <c r="F283" s="240"/>
      <c r="G283" s="235"/>
      <c r="H283" s="236" t="s">
        <v>531</v>
      </c>
      <c r="I283" s="239" t="s">
        <v>519</v>
      </c>
      <c r="J283" s="228" t="s">
        <v>532</v>
      </c>
      <c r="K283" s="229">
        <v>8.3699999999999992</v>
      </c>
      <c r="L283" s="230">
        <v>8.59</v>
      </c>
      <c r="N283" s="248" t="s">
        <v>841</v>
      </c>
      <c r="O283" s="249">
        <v>13.964540758591525</v>
      </c>
      <c r="P283" s="256">
        <v>1457012.19949</v>
      </c>
    </row>
    <row r="284" spans="1:16">
      <c r="A284" s="208">
        <v>39132</v>
      </c>
      <c r="B284" s="208">
        <v>38557</v>
      </c>
      <c r="C284" s="208" t="s">
        <v>504</v>
      </c>
      <c r="D284" s="210">
        <v>0</v>
      </c>
      <c r="F284" s="240"/>
      <c r="G284" s="235"/>
      <c r="H284" s="236" t="s">
        <v>533</v>
      </c>
      <c r="I284" s="239" t="s">
        <v>519</v>
      </c>
      <c r="J284" s="228" t="s">
        <v>534</v>
      </c>
      <c r="K284" s="229">
        <v>8.43</v>
      </c>
      <c r="L284" s="230">
        <v>8.86</v>
      </c>
      <c r="N284" s="248" t="s">
        <v>842</v>
      </c>
      <c r="O284" s="249">
        <v>13.570238819597607</v>
      </c>
      <c r="P284" s="256">
        <v>776336.73064000008</v>
      </c>
    </row>
    <row r="285" spans="1:16">
      <c r="A285" s="208">
        <v>39141</v>
      </c>
      <c r="B285" s="208">
        <v>38557</v>
      </c>
      <c r="C285" s="208" t="s">
        <v>503</v>
      </c>
      <c r="D285" s="210">
        <v>9.64</v>
      </c>
      <c r="F285" s="240"/>
      <c r="G285" s="235" t="s">
        <v>537</v>
      </c>
      <c r="H285" s="236" t="s">
        <v>536</v>
      </c>
      <c r="I285" s="239" t="s">
        <v>519</v>
      </c>
      <c r="J285" s="228" t="s">
        <v>518</v>
      </c>
      <c r="K285" s="229">
        <v>8.31</v>
      </c>
      <c r="L285" s="230">
        <v>8.48</v>
      </c>
      <c r="N285" s="248" t="s">
        <v>843</v>
      </c>
      <c r="O285" s="249">
        <v>12.738512541072488</v>
      </c>
      <c r="P285" s="256">
        <v>1600035.29</v>
      </c>
    </row>
    <row r="286" spans="1:16">
      <c r="A286" s="208">
        <v>39146</v>
      </c>
      <c r="B286" s="208">
        <v>38557</v>
      </c>
      <c r="C286" s="208" t="s">
        <v>504</v>
      </c>
      <c r="D286" s="210">
        <v>0</v>
      </c>
      <c r="F286" s="240"/>
      <c r="G286" s="235"/>
      <c r="H286" s="236" t="s">
        <v>538</v>
      </c>
      <c r="I286" s="239" t="s">
        <v>519</v>
      </c>
      <c r="J286" s="228" t="s">
        <v>521</v>
      </c>
      <c r="K286" s="229">
        <v>8.3699999999999992</v>
      </c>
      <c r="L286" s="230">
        <v>8.61</v>
      </c>
      <c r="N286" s="248" t="s">
        <v>844</v>
      </c>
      <c r="O286" s="249">
        <v>13.655898054304298</v>
      </c>
      <c r="P286" s="256">
        <v>1339654.74602</v>
      </c>
    </row>
    <row r="287" spans="1:16">
      <c r="A287" s="208">
        <v>39155</v>
      </c>
      <c r="B287" s="208">
        <v>38557</v>
      </c>
      <c r="C287" s="208" t="s">
        <v>503</v>
      </c>
      <c r="D287" s="210">
        <v>9.8000000000000007</v>
      </c>
      <c r="F287" s="240"/>
      <c r="G287" s="235"/>
      <c r="H287" s="236" t="s">
        <v>539</v>
      </c>
      <c r="I287" s="239" t="s">
        <v>519</v>
      </c>
      <c r="J287" s="228" t="s">
        <v>540</v>
      </c>
      <c r="K287" s="229">
        <v>8.4499999999999993</v>
      </c>
      <c r="L287" s="230">
        <v>8.3800000000000008</v>
      </c>
      <c r="N287" s="248" t="s">
        <v>845</v>
      </c>
      <c r="O287" s="249">
        <v>13.974133717316278</v>
      </c>
      <c r="P287" s="256">
        <v>1638074.5760800003</v>
      </c>
    </row>
    <row r="288" spans="1:16">
      <c r="A288" s="208">
        <v>39161</v>
      </c>
      <c r="B288" s="208">
        <v>38557</v>
      </c>
      <c r="C288" s="208" t="s">
        <v>504</v>
      </c>
      <c r="D288" s="210">
        <v>9.8569999999999993</v>
      </c>
      <c r="F288" s="240"/>
      <c r="G288" s="235"/>
      <c r="H288" s="236" t="s">
        <v>541</v>
      </c>
      <c r="I288" s="239" t="s">
        <v>519</v>
      </c>
      <c r="J288" s="228" t="s">
        <v>524</v>
      </c>
      <c r="K288" s="229">
        <v>8.56</v>
      </c>
      <c r="L288" s="230">
        <v>8.56</v>
      </c>
      <c r="N288" s="248" t="s">
        <v>846</v>
      </c>
      <c r="O288" s="249">
        <v>13.069224233782867</v>
      </c>
      <c r="P288" s="256">
        <v>1275974.8155100003</v>
      </c>
    </row>
    <row r="289" spans="1:16">
      <c r="A289" s="208">
        <v>39169</v>
      </c>
      <c r="B289" s="208">
        <v>38557</v>
      </c>
      <c r="C289" s="208" t="s">
        <v>503</v>
      </c>
      <c r="D289" s="210">
        <v>9.75</v>
      </c>
      <c r="F289" s="240"/>
      <c r="G289" s="235" t="s">
        <v>544</v>
      </c>
      <c r="H289" s="236" t="s">
        <v>542</v>
      </c>
      <c r="I289" s="239" t="s">
        <v>519</v>
      </c>
      <c r="J289" s="228" t="s">
        <v>543</v>
      </c>
      <c r="K289" s="229">
        <v>8.44</v>
      </c>
      <c r="L289" s="230">
        <v>8.76</v>
      </c>
      <c r="N289" s="248" t="s">
        <v>847</v>
      </c>
      <c r="O289" s="249">
        <v>13.354283966498416</v>
      </c>
      <c r="P289" s="256">
        <v>1382607.1110900003</v>
      </c>
    </row>
    <row r="290" spans="1:16">
      <c r="A290" s="208">
        <v>39174</v>
      </c>
      <c r="B290" s="208">
        <v>38557</v>
      </c>
      <c r="C290" s="208" t="s">
        <v>504</v>
      </c>
      <c r="D290" s="210">
        <v>0</v>
      </c>
      <c r="F290" s="240"/>
      <c r="G290" s="235"/>
      <c r="H290" s="236" t="s">
        <v>545</v>
      </c>
      <c r="I290" s="239" t="s">
        <v>519</v>
      </c>
      <c r="J290" s="228" t="s">
        <v>546</v>
      </c>
      <c r="K290" s="229">
        <v>8.5</v>
      </c>
      <c r="L290" s="230">
        <v>8.6999999999999993</v>
      </c>
      <c r="N290" s="248" t="s">
        <v>848</v>
      </c>
      <c r="O290" s="249">
        <v>13.134296820943071</v>
      </c>
      <c r="P290" s="256">
        <v>1512639.43151</v>
      </c>
    </row>
    <row r="291" spans="1:16">
      <c r="A291" s="208">
        <v>39183</v>
      </c>
      <c r="B291" s="208">
        <v>38557</v>
      </c>
      <c r="C291" s="208" t="s">
        <v>503</v>
      </c>
      <c r="D291" s="210">
        <v>9.9390000000000001</v>
      </c>
      <c r="F291" s="240"/>
      <c r="G291" s="235"/>
      <c r="H291" s="236" t="s">
        <v>520</v>
      </c>
      <c r="I291" s="239" t="s">
        <v>519</v>
      </c>
      <c r="J291" s="228" t="s">
        <v>547</v>
      </c>
      <c r="K291" s="229">
        <v>8.5299999999999994</v>
      </c>
      <c r="L291" s="230">
        <v>8.5</v>
      </c>
      <c r="N291" s="248" t="s">
        <v>849</v>
      </c>
      <c r="O291" s="249">
        <v>12.543001375062151</v>
      </c>
      <c r="P291" s="256">
        <v>1525241.94878</v>
      </c>
    </row>
    <row r="292" spans="1:16">
      <c r="A292" s="208">
        <v>39188</v>
      </c>
      <c r="B292" s="208">
        <v>38557</v>
      </c>
      <c r="C292" s="208" t="s">
        <v>504</v>
      </c>
      <c r="D292" s="210">
        <v>9.9390000000000001</v>
      </c>
      <c r="F292" s="240"/>
      <c r="G292" s="235"/>
      <c r="H292" s="236" t="s">
        <v>522</v>
      </c>
      <c r="I292" s="239" t="s">
        <v>519</v>
      </c>
      <c r="J292" s="228" t="s">
        <v>555</v>
      </c>
      <c r="K292" s="229">
        <v>8.49</v>
      </c>
      <c r="L292" s="230">
        <v>8.92</v>
      </c>
      <c r="N292" s="248" t="s">
        <v>850</v>
      </c>
      <c r="O292" s="249">
        <v>13.02300294346589</v>
      </c>
      <c r="P292" s="256">
        <v>1581755.4801599998</v>
      </c>
    </row>
    <row r="293" spans="1:16">
      <c r="A293" s="208">
        <v>39197</v>
      </c>
      <c r="B293" s="208">
        <v>38557</v>
      </c>
      <c r="C293" s="208" t="s">
        <v>503</v>
      </c>
      <c r="D293" s="210">
        <v>9.8800000000000008</v>
      </c>
      <c r="F293" s="240"/>
      <c r="G293" s="235"/>
      <c r="H293" s="236" t="s">
        <v>523</v>
      </c>
      <c r="I293" s="239" t="s">
        <v>519</v>
      </c>
      <c r="J293" s="228" t="s">
        <v>557</v>
      </c>
      <c r="K293" s="229">
        <v>8.58</v>
      </c>
      <c r="L293" s="230">
        <v>8.5399999999999991</v>
      </c>
      <c r="N293" s="248" t="s">
        <v>851</v>
      </c>
      <c r="O293" s="249">
        <v>13.115527818825672</v>
      </c>
      <c r="P293" s="256">
        <v>1466994.7186199999</v>
      </c>
    </row>
    <row r="294" spans="1:16">
      <c r="A294" s="208">
        <v>39202</v>
      </c>
      <c r="B294" s="208">
        <v>38557</v>
      </c>
      <c r="C294" s="208" t="s">
        <v>504</v>
      </c>
      <c r="D294" s="210">
        <v>9.9350000000000005</v>
      </c>
      <c r="F294" s="240"/>
      <c r="G294" s="235" t="s">
        <v>548</v>
      </c>
      <c r="H294" s="236" t="s">
        <v>525</v>
      </c>
      <c r="I294" s="239" t="s">
        <v>519</v>
      </c>
      <c r="J294" s="228" t="s">
        <v>549</v>
      </c>
      <c r="K294" s="229">
        <v>8.5500000000000007</v>
      </c>
      <c r="L294" s="230">
        <v>9.09</v>
      </c>
      <c r="N294" s="248" t="s">
        <v>852</v>
      </c>
      <c r="O294" s="249">
        <v>13.016850505659585</v>
      </c>
      <c r="P294" s="256">
        <v>1380345.2958499999</v>
      </c>
    </row>
    <row r="295" spans="1:16">
      <c r="A295" s="208">
        <v>39211</v>
      </c>
      <c r="B295" s="208">
        <v>38557</v>
      </c>
      <c r="C295" s="208" t="s">
        <v>503</v>
      </c>
      <c r="D295" s="210">
        <v>10.06</v>
      </c>
      <c r="F295" s="240"/>
      <c r="G295" s="235"/>
      <c r="H295" s="236" t="s">
        <v>528</v>
      </c>
      <c r="I295" s="239" t="s">
        <v>519</v>
      </c>
      <c r="J295" s="228" t="s">
        <v>550</v>
      </c>
      <c r="K295" s="229">
        <v>8.51</v>
      </c>
      <c r="L295" s="230">
        <v>7.9</v>
      </c>
      <c r="N295" s="248" t="s">
        <v>853</v>
      </c>
      <c r="O295" s="249">
        <v>12.514226443107733</v>
      </c>
      <c r="P295" s="256">
        <v>1612112.1592699999</v>
      </c>
    </row>
    <row r="296" spans="1:16">
      <c r="A296" s="208">
        <v>39216</v>
      </c>
      <c r="B296" s="208">
        <v>38557</v>
      </c>
      <c r="C296" s="208" t="s">
        <v>504</v>
      </c>
      <c r="D296" s="210">
        <v>10.083</v>
      </c>
      <c r="F296" s="240"/>
      <c r="G296" s="235"/>
      <c r="H296" s="236" t="s">
        <v>530</v>
      </c>
      <c r="I296" s="239" t="s">
        <v>519</v>
      </c>
      <c r="J296" s="228" t="s">
        <v>551</v>
      </c>
      <c r="K296" s="229">
        <v>8.4700000000000006</v>
      </c>
      <c r="L296" s="230">
        <v>6.84</v>
      </c>
      <c r="N296" s="248" t="s">
        <v>854</v>
      </c>
      <c r="O296" s="249">
        <v>12.807799092310288</v>
      </c>
      <c r="P296" s="256">
        <v>2132269.9101400003</v>
      </c>
    </row>
    <row r="297" spans="1:16">
      <c r="A297" s="208">
        <v>39225</v>
      </c>
      <c r="B297" s="208">
        <v>38557</v>
      </c>
      <c r="C297" s="208" t="s">
        <v>503</v>
      </c>
      <c r="D297" s="210">
        <v>9.9</v>
      </c>
      <c r="F297" s="240"/>
      <c r="G297" s="235"/>
      <c r="H297" s="236" t="s">
        <v>532</v>
      </c>
      <c r="I297" s="239" t="s">
        <v>519</v>
      </c>
      <c r="J297" s="228" t="s">
        <v>552</v>
      </c>
      <c r="K297" s="229">
        <v>8.6199999999999992</v>
      </c>
      <c r="L297" s="230">
        <v>7.66</v>
      </c>
      <c r="N297" s="248" t="s">
        <v>855</v>
      </c>
      <c r="O297" s="249">
        <v>12.724264633360033</v>
      </c>
      <c r="P297" s="256">
        <v>1209362.0202500001</v>
      </c>
    </row>
    <row r="298" spans="1:16">
      <c r="A298" s="208">
        <v>39230</v>
      </c>
      <c r="B298" s="208">
        <v>38557</v>
      </c>
      <c r="C298" s="208" t="s">
        <v>504</v>
      </c>
      <c r="D298" s="210">
        <v>9.9649999999999999</v>
      </c>
      <c r="F298" s="240"/>
      <c r="G298" s="235" t="s">
        <v>553</v>
      </c>
      <c r="H298" s="236" t="s">
        <v>534</v>
      </c>
      <c r="I298" s="239" t="s">
        <v>519</v>
      </c>
      <c r="J298" s="228" t="s">
        <v>518</v>
      </c>
      <c r="K298" s="229">
        <v>8.36</v>
      </c>
      <c r="L298" s="230">
        <v>7.95</v>
      </c>
      <c r="N298" s="248" t="s">
        <v>856</v>
      </c>
      <c r="O298" s="249">
        <v>12.63126058051586</v>
      </c>
      <c r="P298" s="256">
        <v>1635550.1897700001</v>
      </c>
    </row>
    <row r="299" spans="1:16">
      <c r="A299" s="208">
        <v>39246</v>
      </c>
      <c r="B299" s="208">
        <v>38557</v>
      </c>
      <c r="C299" s="208" t="s">
        <v>503</v>
      </c>
      <c r="D299" s="210">
        <v>9.69</v>
      </c>
      <c r="F299" s="240"/>
      <c r="G299" s="235"/>
      <c r="H299" s="236" t="s">
        <v>538</v>
      </c>
      <c r="I299" s="239" t="s">
        <v>519</v>
      </c>
      <c r="J299" s="228" t="s">
        <v>521</v>
      </c>
      <c r="K299" s="229">
        <v>8.36</v>
      </c>
      <c r="L299" s="230">
        <v>6.71</v>
      </c>
      <c r="N299" s="248" t="s">
        <v>857</v>
      </c>
      <c r="O299" s="249">
        <v>12.455509523671243</v>
      </c>
      <c r="P299" s="256">
        <v>1416757.8758800002</v>
      </c>
    </row>
    <row r="300" spans="1:16">
      <c r="A300" s="208">
        <v>39252</v>
      </c>
      <c r="B300" s="208">
        <v>38557</v>
      </c>
      <c r="C300" s="208" t="s">
        <v>504</v>
      </c>
      <c r="D300" s="210">
        <v>9.7899999999999991</v>
      </c>
      <c r="F300" s="240"/>
      <c r="G300" s="235"/>
      <c r="H300" s="236" t="s">
        <v>539</v>
      </c>
      <c r="I300" s="239" t="s">
        <v>519</v>
      </c>
      <c r="J300" s="228" t="s">
        <v>540</v>
      </c>
      <c r="K300" s="229">
        <v>8.5</v>
      </c>
      <c r="L300" s="230">
        <v>7.83</v>
      </c>
      <c r="N300" s="248" t="s">
        <v>858</v>
      </c>
      <c r="O300" s="249">
        <v>13.183185201162381</v>
      </c>
      <c r="P300" s="256">
        <v>1932617.5991700001</v>
      </c>
    </row>
    <row r="301" spans="1:16">
      <c r="A301" s="208">
        <v>39260</v>
      </c>
      <c r="B301" s="208">
        <v>38557</v>
      </c>
      <c r="C301" s="208" t="s">
        <v>503</v>
      </c>
      <c r="D301" s="210">
        <v>9.8729999999999993</v>
      </c>
      <c r="F301" s="240"/>
      <c r="G301" s="235"/>
      <c r="H301" s="236" t="s">
        <v>541</v>
      </c>
      <c r="I301" s="239" t="s">
        <v>519</v>
      </c>
      <c r="J301" s="228" t="s">
        <v>524</v>
      </c>
      <c r="K301" s="229">
        <v>8.27</v>
      </c>
      <c r="L301" s="230">
        <v>7.14</v>
      </c>
      <c r="N301" s="248" t="s">
        <v>859</v>
      </c>
      <c r="O301" s="249">
        <v>12.610966420922422</v>
      </c>
      <c r="P301" s="256">
        <v>1507780.8125800001</v>
      </c>
    </row>
    <row r="302" spans="1:16">
      <c r="A302" s="208">
        <v>39266</v>
      </c>
      <c r="B302" s="208">
        <v>38557</v>
      </c>
      <c r="C302" s="208" t="s">
        <v>504</v>
      </c>
      <c r="D302" s="210">
        <v>9.9440000000000008</v>
      </c>
      <c r="F302" s="240"/>
      <c r="G302" s="235" t="s">
        <v>554</v>
      </c>
      <c r="H302" s="236" t="s">
        <v>542</v>
      </c>
      <c r="I302" s="239" t="s">
        <v>519</v>
      </c>
      <c r="J302" s="228" t="s">
        <v>527</v>
      </c>
      <c r="K302" s="229">
        <v>8.44</v>
      </c>
      <c r="L302" s="230">
        <v>7.33</v>
      </c>
      <c r="N302" s="248" t="s">
        <v>860</v>
      </c>
      <c r="O302" s="249">
        <v>12.942299053251327</v>
      </c>
      <c r="P302" s="256">
        <v>1553425.0816900001</v>
      </c>
    </row>
    <row r="303" spans="1:16">
      <c r="A303" s="208">
        <v>39274</v>
      </c>
      <c r="B303" s="208">
        <v>38557</v>
      </c>
      <c r="C303" s="208" t="s">
        <v>503</v>
      </c>
      <c r="D303" s="210">
        <v>9.83</v>
      </c>
      <c r="F303" s="240"/>
      <c r="G303" s="235"/>
      <c r="H303" s="236" t="s">
        <v>543</v>
      </c>
      <c r="I303" s="239" t="s">
        <v>519</v>
      </c>
      <c r="J303" s="228" t="s">
        <v>529</v>
      </c>
      <c r="K303" s="229">
        <v>8.31</v>
      </c>
      <c r="L303" s="230">
        <v>7.95</v>
      </c>
      <c r="N303" s="248" t="s">
        <v>861</v>
      </c>
      <c r="O303" s="249">
        <v>12.496032714736348</v>
      </c>
      <c r="P303" s="256">
        <v>1468369.20466</v>
      </c>
    </row>
    <row r="304" spans="1:16">
      <c r="A304" s="208">
        <v>39279</v>
      </c>
      <c r="B304" s="208">
        <v>38557</v>
      </c>
      <c r="C304" s="208" t="s">
        <v>504</v>
      </c>
      <c r="D304" s="210">
        <v>9.8810000000000002</v>
      </c>
      <c r="F304" s="240"/>
      <c r="G304" s="235"/>
      <c r="H304" s="236" t="s">
        <v>546</v>
      </c>
      <c r="I304" s="239" t="s">
        <v>519</v>
      </c>
      <c r="J304" s="228" t="s">
        <v>531</v>
      </c>
      <c r="K304" s="229">
        <v>8.23</v>
      </c>
      <c r="L304" s="230">
        <v>8.94</v>
      </c>
      <c r="N304" s="248" t="s">
        <v>862</v>
      </c>
      <c r="O304" s="249">
        <v>13.017307914674021</v>
      </c>
      <c r="P304" s="256">
        <v>1682032.5970099999</v>
      </c>
    </row>
    <row r="305" spans="1:16">
      <c r="A305" s="208">
        <v>39288</v>
      </c>
      <c r="B305" s="208">
        <v>38557</v>
      </c>
      <c r="C305" s="208" t="s">
        <v>503</v>
      </c>
      <c r="D305" s="210">
        <v>9.7799999999999994</v>
      </c>
      <c r="F305" s="240"/>
      <c r="G305" s="235"/>
      <c r="H305" s="236" t="s">
        <v>547</v>
      </c>
      <c r="I305" s="239" t="s">
        <v>519</v>
      </c>
      <c r="J305" s="228" t="s">
        <v>533</v>
      </c>
      <c r="K305" s="229">
        <v>8.2799999999999994</v>
      </c>
      <c r="L305" s="230">
        <v>8.43</v>
      </c>
      <c r="N305" s="248" t="s">
        <v>863</v>
      </c>
      <c r="O305" s="249">
        <v>12.83348408428018</v>
      </c>
      <c r="P305" s="256">
        <v>1786700.9801299998</v>
      </c>
    </row>
    <row r="306" spans="1:16">
      <c r="A306" s="208">
        <v>39293</v>
      </c>
      <c r="B306" s="208">
        <v>38557</v>
      </c>
      <c r="C306" s="208" t="s">
        <v>504</v>
      </c>
      <c r="D306" s="210">
        <v>0</v>
      </c>
      <c r="F306" s="240"/>
      <c r="G306" s="235"/>
      <c r="H306" s="236" t="s">
        <v>555</v>
      </c>
      <c r="I306" s="239" t="s">
        <v>519</v>
      </c>
      <c r="J306" s="228" t="s">
        <v>536</v>
      </c>
      <c r="K306" s="229">
        <v>8.26</v>
      </c>
      <c r="L306" s="230">
        <v>8.5</v>
      </c>
      <c r="N306" s="248" t="s">
        <v>864</v>
      </c>
      <c r="O306" s="249">
        <v>12.638717791869848</v>
      </c>
      <c r="P306" s="256">
        <v>1509108.4814800001</v>
      </c>
    </row>
    <row r="307" spans="1:16">
      <c r="A307" s="208">
        <v>39302</v>
      </c>
      <c r="B307" s="208">
        <v>38557</v>
      </c>
      <c r="C307" s="208" t="s">
        <v>503</v>
      </c>
      <c r="D307" s="210">
        <v>9.9</v>
      </c>
      <c r="F307" s="240"/>
      <c r="G307" s="235" t="s">
        <v>556</v>
      </c>
      <c r="H307" s="236" t="s">
        <v>557</v>
      </c>
      <c r="I307" s="239" t="s">
        <v>519</v>
      </c>
      <c r="J307" s="228" t="s">
        <v>538</v>
      </c>
      <c r="K307" s="229">
        <v>8.3699999999999992</v>
      </c>
      <c r="L307" s="230">
        <v>8.52</v>
      </c>
      <c r="N307" s="248" t="s">
        <v>865</v>
      </c>
      <c r="O307" s="249">
        <v>12.939340501147562</v>
      </c>
      <c r="P307" s="256">
        <v>1638235.6041799998</v>
      </c>
    </row>
    <row r="308" spans="1:16">
      <c r="A308" s="208">
        <v>39307</v>
      </c>
      <c r="B308" s="208">
        <v>38557</v>
      </c>
      <c r="C308" s="208" t="s">
        <v>504</v>
      </c>
      <c r="D308" s="210">
        <v>0</v>
      </c>
      <c r="F308" s="240"/>
      <c r="G308" s="235"/>
      <c r="H308" s="236" t="s">
        <v>549</v>
      </c>
      <c r="I308" s="239" t="s">
        <v>519</v>
      </c>
      <c r="J308" s="228" t="s">
        <v>539</v>
      </c>
      <c r="K308" s="229">
        <v>8.15</v>
      </c>
      <c r="L308" s="230">
        <v>8.76</v>
      </c>
      <c r="N308" s="248" t="s">
        <v>866</v>
      </c>
      <c r="O308" s="249">
        <v>13.410892505430562</v>
      </c>
      <c r="P308" s="256">
        <v>1375490.7645</v>
      </c>
    </row>
    <row r="309" spans="1:16">
      <c r="A309" s="208">
        <v>39316</v>
      </c>
      <c r="B309" s="208">
        <v>38557</v>
      </c>
      <c r="C309" s="208" t="s">
        <v>503</v>
      </c>
      <c r="D309" s="210">
        <v>10.56</v>
      </c>
      <c r="F309" s="240"/>
      <c r="G309" s="235"/>
      <c r="H309" s="236" t="s">
        <v>550</v>
      </c>
      <c r="I309" s="239" t="s">
        <v>519</v>
      </c>
      <c r="J309" s="228" t="s">
        <v>541</v>
      </c>
      <c r="K309" s="229">
        <v>8.36</v>
      </c>
      <c r="L309" s="230">
        <v>8.85</v>
      </c>
      <c r="N309" s="248" t="s">
        <v>867</v>
      </c>
      <c r="O309" s="249">
        <v>13.665209517492029</v>
      </c>
      <c r="P309" s="256">
        <v>1695190.8802599998</v>
      </c>
    </row>
    <row r="310" spans="1:16" ht="15.75" thickBot="1">
      <c r="A310" s="208">
        <v>39321</v>
      </c>
      <c r="B310" s="208">
        <v>38557</v>
      </c>
      <c r="C310" s="208" t="s">
        <v>504</v>
      </c>
      <c r="D310" s="210">
        <v>10.587999999999999</v>
      </c>
      <c r="F310" s="240"/>
      <c r="G310" s="235"/>
      <c r="H310" s="236" t="s">
        <v>551</v>
      </c>
      <c r="I310" s="239" t="s">
        <v>519</v>
      </c>
      <c r="J310" s="228" t="s">
        <v>542</v>
      </c>
      <c r="K310" s="229">
        <v>8.3699999999999992</v>
      </c>
      <c r="L310" s="230">
        <v>8.52</v>
      </c>
      <c r="N310" s="248" t="s">
        <v>868</v>
      </c>
      <c r="O310" s="249">
        <v>12.798807882910495</v>
      </c>
      <c r="P310" s="256">
        <v>1341026.2662799999</v>
      </c>
    </row>
    <row r="311" spans="1:16" ht="15.75" thickBot="1">
      <c r="A311" s="643" t="s">
        <v>495</v>
      </c>
      <c r="B311" s="644"/>
      <c r="C311" s="645"/>
      <c r="D311" s="211">
        <f>AVERAGE(D279:D310)</f>
        <v>7.994406249999999</v>
      </c>
      <c r="F311" s="240"/>
      <c r="G311" s="235" t="s">
        <v>558</v>
      </c>
      <c r="H311" s="236" t="s">
        <v>552</v>
      </c>
      <c r="I311" s="239" t="s">
        <v>519</v>
      </c>
      <c r="J311" s="228" t="s">
        <v>545</v>
      </c>
      <c r="K311" s="229">
        <v>8.3000000000000007</v>
      </c>
      <c r="L311" s="230">
        <v>8.35</v>
      </c>
      <c r="N311" s="248" t="s">
        <v>869</v>
      </c>
      <c r="O311" s="249">
        <v>12.87963929396245</v>
      </c>
      <c r="P311" s="256">
        <v>1667834.6202499999</v>
      </c>
    </row>
    <row r="312" spans="1:16">
      <c r="A312" s="208">
        <v>39456</v>
      </c>
      <c r="B312" s="208">
        <v>38557</v>
      </c>
      <c r="C312" s="208" t="s">
        <v>503</v>
      </c>
      <c r="D312" s="210">
        <v>10.449</v>
      </c>
      <c r="F312" s="240"/>
      <c r="G312" s="235"/>
      <c r="H312" s="236" t="s">
        <v>518</v>
      </c>
      <c r="I312" s="239" t="s">
        <v>519</v>
      </c>
      <c r="J312" s="228" t="s">
        <v>520</v>
      </c>
      <c r="K312" s="229">
        <v>8.31</v>
      </c>
      <c r="L312" s="230">
        <v>8.5</v>
      </c>
      <c r="N312" s="248" t="s">
        <v>870</v>
      </c>
      <c r="O312" s="249">
        <v>12.838775846271005</v>
      </c>
      <c r="P312" s="256">
        <v>1373532.1192800002</v>
      </c>
    </row>
    <row r="313" spans="1:16">
      <c r="A313" s="208">
        <v>39461</v>
      </c>
      <c r="B313" s="208">
        <v>38557</v>
      </c>
      <c r="C313" s="208" t="s">
        <v>504</v>
      </c>
      <c r="D313" s="210">
        <v>10.48</v>
      </c>
      <c r="F313" s="240"/>
      <c r="G313" s="235"/>
      <c r="H313" s="236" t="s">
        <v>521</v>
      </c>
      <c r="I313" s="239" t="s">
        <v>519</v>
      </c>
      <c r="J313" s="228" t="s">
        <v>522</v>
      </c>
      <c r="K313" s="229">
        <v>8.39</v>
      </c>
      <c r="L313" s="230">
        <v>7.7</v>
      </c>
      <c r="N313" s="248" t="s">
        <v>871</v>
      </c>
      <c r="O313" s="249">
        <v>13.587385280085105</v>
      </c>
      <c r="P313" s="256">
        <v>1918647.6216200001</v>
      </c>
    </row>
    <row r="314" spans="1:16">
      <c r="A314" s="208">
        <v>39470</v>
      </c>
      <c r="B314" s="208">
        <v>38557</v>
      </c>
      <c r="C314" s="208" t="s">
        <v>503</v>
      </c>
      <c r="D314" s="210">
        <v>11.257999999999999</v>
      </c>
      <c r="F314" s="240"/>
      <c r="G314" s="235"/>
      <c r="H314" s="236" t="s">
        <v>540</v>
      </c>
      <c r="I314" s="239" t="s">
        <v>519</v>
      </c>
      <c r="J314" s="228" t="s">
        <v>523</v>
      </c>
      <c r="K314" s="229">
        <v>8.32</v>
      </c>
      <c r="L314" s="230">
        <v>7.44</v>
      </c>
      <c r="N314" s="248" t="s">
        <v>872</v>
      </c>
      <c r="O314" s="249">
        <v>12.316955320907924</v>
      </c>
      <c r="P314" s="256">
        <v>1562781.89619</v>
      </c>
    </row>
    <row r="315" spans="1:16">
      <c r="A315" s="208">
        <v>39475</v>
      </c>
      <c r="B315" s="208">
        <v>38557</v>
      </c>
      <c r="C315" s="208" t="s">
        <v>504</v>
      </c>
      <c r="D315" s="210">
        <v>11.244999999999999</v>
      </c>
      <c r="F315" s="240"/>
      <c r="G315" s="235"/>
      <c r="H315" s="236" t="s">
        <v>524</v>
      </c>
      <c r="I315" s="239" t="s">
        <v>519</v>
      </c>
      <c r="J315" s="228" t="s">
        <v>525</v>
      </c>
      <c r="K315" s="229">
        <v>8.4499999999999993</v>
      </c>
      <c r="L315" s="230">
        <v>7.14</v>
      </c>
      <c r="N315" s="248" t="s">
        <v>873</v>
      </c>
      <c r="O315" s="249">
        <v>12.873618311091471</v>
      </c>
      <c r="P315" s="256">
        <v>1868002.5831399998</v>
      </c>
    </row>
    <row r="316" spans="1:16">
      <c r="A316" s="208">
        <v>39491</v>
      </c>
      <c r="B316" s="208">
        <v>38557</v>
      </c>
      <c r="C316" s="208" t="s">
        <v>503</v>
      </c>
      <c r="D316" s="210">
        <v>11.13</v>
      </c>
      <c r="F316" s="240"/>
      <c r="G316" s="235" t="s">
        <v>559</v>
      </c>
      <c r="H316" s="236" t="s">
        <v>527</v>
      </c>
      <c r="I316" s="239" t="s">
        <v>519</v>
      </c>
      <c r="J316" s="228" t="s">
        <v>528</v>
      </c>
      <c r="K316" s="229">
        <v>8.41</v>
      </c>
      <c r="L316" s="230">
        <v>7.45</v>
      </c>
      <c r="N316" s="248" t="s">
        <v>874</v>
      </c>
      <c r="O316" s="249">
        <v>12.342023111525732</v>
      </c>
      <c r="P316" s="256">
        <v>1666164.68077</v>
      </c>
    </row>
    <row r="317" spans="1:16">
      <c r="A317" s="208">
        <v>39496</v>
      </c>
      <c r="B317" s="208">
        <v>38557</v>
      </c>
      <c r="C317" s="208" t="s">
        <v>504</v>
      </c>
      <c r="D317" s="210">
        <v>11.173999999999999</v>
      </c>
      <c r="F317" s="240"/>
      <c r="G317" s="235"/>
      <c r="H317" s="236" t="s">
        <v>529</v>
      </c>
      <c r="I317" s="239" t="s">
        <v>519</v>
      </c>
      <c r="J317" s="228" t="s">
        <v>530</v>
      </c>
      <c r="K317" s="229">
        <v>8.43</v>
      </c>
      <c r="L317" s="230">
        <v>8.2899999999999991</v>
      </c>
      <c r="N317" s="248" t="s">
        <v>875</v>
      </c>
      <c r="O317" s="249">
        <v>13.460843429434693</v>
      </c>
      <c r="P317" s="256">
        <v>1937607.67282</v>
      </c>
    </row>
    <row r="318" spans="1:16">
      <c r="A318" s="208">
        <v>39505</v>
      </c>
      <c r="B318" s="208">
        <v>38557</v>
      </c>
      <c r="C318" s="208" t="s">
        <v>503</v>
      </c>
      <c r="D318" s="210">
        <v>11.279</v>
      </c>
      <c r="F318" s="240"/>
      <c r="G318" s="235"/>
      <c r="H318" s="236" t="s">
        <v>531</v>
      </c>
      <c r="I318" s="239" t="s">
        <v>519</v>
      </c>
      <c r="J318" s="228" t="s">
        <v>532</v>
      </c>
      <c r="K318" s="229">
        <v>8.2899999999999991</v>
      </c>
      <c r="L318" s="230">
        <v>8.02</v>
      </c>
      <c r="N318" s="248" t="s">
        <v>876</v>
      </c>
      <c r="O318" s="249">
        <v>13.470518960761686</v>
      </c>
      <c r="P318" s="256">
        <v>1953917.4341300002</v>
      </c>
    </row>
    <row r="319" spans="1:16">
      <c r="A319" s="208">
        <v>39510</v>
      </c>
      <c r="B319" s="208">
        <v>38557</v>
      </c>
      <c r="C319" s="208" t="s">
        <v>504</v>
      </c>
      <c r="D319" s="210">
        <v>0</v>
      </c>
      <c r="F319" s="240"/>
      <c r="G319" s="235"/>
      <c r="H319" s="236" t="s">
        <v>533</v>
      </c>
      <c r="I319" s="239" t="s">
        <v>519</v>
      </c>
      <c r="J319" s="228" t="s">
        <v>534</v>
      </c>
      <c r="K319" s="229">
        <v>8.51</v>
      </c>
      <c r="L319" s="230">
        <v>8.2899999999999991</v>
      </c>
      <c r="N319" s="248" t="s">
        <v>877</v>
      </c>
      <c r="O319" s="249">
        <v>12.890615933495921</v>
      </c>
      <c r="P319" s="256">
        <v>1454442.4148299999</v>
      </c>
    </row>
    <row r="320" spans="1:16">
      <c r="A320" s="208">
        <v>39519</v>
      </c>
      <c r="B320" s="208">
        <v>38557</v>
      </c>
      <c r="C320" s="208" t="s">
        <v>503</v>
      </c>
      <c r="D320" s="210">
        <v>11.46</v>
      </c>
      <c r="F320" s="240"/>
      <c r="G320" s="235" t="s">
        <v>560</v>
      </c>
      <c r="H320" s="236" t="s">
        <v>536</v>
      </c>
      <c r="I320" s="239" t="s">
        <v>519</v>
      </c>
      <c r="J320" s="228" t="s">
        <v>538</v>
      </c>
      <c r="K320" s="229">
        <v>8.48</v>
      </c>
      <c r="L320" s="230">
        <v>9.1999999999999993</v>
      </c>
      <c r="N320" s="248" t="s">
        <v>878</v>
      </c>
      <c r="O320" s="249">
        <v>13.301222070551162</v>
      </c>
      <c r="P320" s="256">
        <v>2325004.8979400001</v>
      </c>
    </row>
    <row r="321" spans="1:16">
      <c r="A321" s="208">
        <v>39524</v>
      </c>
      <c r="B321" s="208">
        <v>38557</v>
      </c>
      <c r="C321" s="208" t="s">
        <v>504</v>
      </c>
      <c r="D321" s="210">
        <v>0</v>
      </c>
      <c r="F321" s="240"/>
      <c r="G321" s="235"/>
      <c r="H321" s="236" t="s">
        <v>549</v>
      </c>
      <c r="I321" s="239" t="s">
        <v>519</v>
      </c>
      <c r="J321" s="228" t="s">
        <v>539</v>
      </c>
      <c r="K321" s="229">
        <v>8.42</v>
      </c>
      <c r="L321" s="230">
        <v>8.81</v>
      </c>
      <c r="N321" s="248" t="s">
        <v>879</v>
      </c>
      <c r="O321" s="249">
        <v>13.317528199717676</v>
      </c>
      <c r="P321" s="256">
        <v>1945148.3752000001</v>
      </c>
    </row>
    <row r="322" spans="1:16" ht="15.75" thickBot="1">
      <c r="A322" s="208">
        <v>39533</v>
      </c>
      <c r="B322" s="208">
        <v>38557</v>
      </c>
      <c r="C322" s="208" t="s">
        <v>503</v>
      </c>
      <c r="D322" s="210">
        <v>11.535</v>
      </c>
      <c r="F322" s="240"/>
      <c r="G322" s="235"/>
      <c r="H322" s="236" t="s">
        <v>550</v>
      </c>
      <c r="I322" s="239" t="s">
        <v>519</v>
      </c>
      <c r="J322" s="228" t="s">
        <v>541</v>
      </c>
      <c r="K322" s="229">
        <v>8.39</v>
      </c>
      <c r="L322" s="230">
        <v>8.7899999999999991</v>
      </c>
      <c r="N322" s="248" t="s">
        <v>880</v>
      </c>
      <c r="O322" s="249">
        <v>13.431321500175756</v>
      </c>
      <c r="P322" s="256">
        <v>2063914.3903800002</v>
      </c>
    </row>
    <row r="323" spans="1:16" ht="16.5" thickBot="1">
      <c r="A323" s="208">
        <v>39538</v>
      </c>
      <c r="B323" s="208">
        <v>38557</v>
      </c>
      <c r="C323" s="208" t="s">
        <v>504</v>
      </c>
      <c r="D323" s="210">
        <v>11.552</v>
      </c>
      <c r="F323" s="240"/>
      <c r="G323" s="235"/>
      <c r="H323" s="236" t="s">
        <v>551</v>
      </c>
      <c r="I323" s="239" t="s">
        <v>519</v>
      </c>
      <c r="J323" s="228" t="s">
        <v>542</v>
      </c>
      <c r="K323" s="229">
        <v>8.52</v>
      </c>
      <c r="L323" s="230">
        <v>8.8800000000000008</v>
      </c>
      <c r="N323" s="251" t="s">
        <v>561</v>
      </c>
      <c r="O323" s="252">
        <f>AVERAGE(O271:O322)</f>
        <v>13.063003118061699</v>
      </c>
      <c r="P323" s="256"/>
    </row>
    <row r="324" spans="1:16" ht="15.75" thickBot="1">
      <c r="A324" s="643" t="s">
        <v>495</v>
      </c>
      <c r="B324" s="644"/>
      <c r="C324" s="645"/>
      <c r="D324" s="211">
        <f>+AVERAGE(D312:D323)</f>
        <v>9.296833333333332</v>
      </c>
      <c r="F324" s="640" t="s">
        <v>561</v>
      </c>
      <c r="G324" s="641"/>
      <c r="H324" s="641"/>
      <c r="I324" s="641"/>
      <c r="J324" s="641"/>
      <c r="K324" s="642"/>
      <c r="L324" s="234">
        <f>AVERAGE(L272:L323)</f>
        <v>8.4153846153846139</v>
      </c>
      <c r="N324" s="248" t="s">
        <v>881</v>
      </c>
      <c r="O324" s="249">
        <v>12.621154942360608</v>
      </c>
      <c r="P324" s="256">
        <v>975333.58045000001</v>
      </c>
    </row>
    <row r="325" spans="1:16">
      <c r="A325" s="208">
        <v>39897</v>
      </c>
      <c r="B325" s="208">
        <v>39653</v>
      </c>
      <c r="C325" s="208" t="s">
        <v>505</v>
      </c>
      <c r="D325" s="210">
        <v>9.67</v>
      </c>
      <c r="F325" s="240">
        <v>2005</v>
      </c>
      <c r="G325" s="235" t="s">
        <v>517</v>
      </c>
      <c r="H325" s="236" t="s">
        <v>552</v>
      </c>
      <c r="I325" s="239" t="s">
        <v>519</v>
      </c>
      <c r="J325" s="228" t="s">
        <v>543</v>
      </c>
      <c r="K325" s="229">
        <v>8.4499999999999993</v>
      </c>
      <c r="L325" s="230">
        <v>8.9</v>
      </c>
      <c r="N325" s="248" t="s">
        <v>882</v>
      </c>
      <c r="O325" s="249">
        <v>12.284895815677309</v>
      </c>
      <c r="P325" s="256">
        <v>1322835.6362100001</v>
      </c>
    </row>
    <row r="326" spans="1:16">
      <c r="A326" s="208">
        <v>39909</v>
      </c>
      <c r="B326" s="208">
        <v>39653</v>
      </c>
      <c r="C326" s="208" t="s">
        <v>506</v>
      </c>
      <c r="D326" s="210">
        <v>9.6760000000000002</v>
      </c>
      <c r="F326" s="240"/>
      <c r="G326" s="235"/>
      <c r="H326" s="236" t="s">
        <v>545</v>
      </c>
      <c r="I326" s="239" t="s">
        <v>519</v>
      </c>
      <c r="J326" s="228" t="s">
        <v>546</v>
      </c>
      <c r="K326" s="229">
        <v>8.4499999999999993</v>
      </c>
      <c r="L326" s="230">
        <v>8.61</v>
      </c>
      <c r="N326" s="248" t="s">
        <v>883</v>
      </c>
      <c r="O326" s="249">
        <v>12.858845396248585</v>
      </c>
      <c r="P326" s="256">
        <v>1333151.3764500001</v>
      </c>
    </row>
    <row r="327" spans="1:16">
      <c r="A327" s="208">
        <v>39911</v>
      </c>
      <c r="B327" s="208">
        <v>39653</v>
      </c>
      <c r="C327" s="208" t="s">
        <v>505</v>
      </c>
      <c r="D327" s="210">
        <v>9.5790000000000006</v>
      </c>
      <c r="F327" s="240"/>
      <c r="G327" s="235"/>
      <c r="H327" s="236" t="s">
        <v>520</v>
      </c>
      <c r="I327" s="239" t="s">
        <v>519</v>
      </c>
      <c r="J327" s="228" t="s">
        <v>547</v>
      </c>
      <c r="K327" s="229">
        <v>8.26</v>
      </c>
      <c r="L327" s="230">
        <v>8.44</v>
      </c>
      <c r="N327" s="248" t="s">
        <v>884</v>
      </c>
      <c r="O327" s="249">
        <v>13.659726931812195</v>
      </c>
      <c r="P327" s="256">
        <v>1322054.7967900001</v>
      </c>
    </row>
    <row r="328" spans="1:16">
      <c r="A328" s="208">
        <v>39923</v>
      </c>
      <c r="B328" s="208">
        <v>39653</v>
      </c>
      <c r="C328" s="208" t="s">
        <v>506</v>
      </c>
      <c r="D328" s="210">
        <v>9.6349999999999998</v>
      </c>
      <c r="F328" s="240"/>
      <c r="G328" s="235"/>
      <c r="H328" s="236" t="s">
        <v>522</v>
      </c>
      <c r="I328" s="239" t="s">
        <v>519</v>
      </c>
      <c r="J328" s="228" t="s">
        <v>555</v>
      </c>
      <c r="K328" s="229">
        <v>8.3800000000000008</v>
      </c>
      <c r="L328" s="230">
        <v>8.9600000000000009</v>
      </c>
      <c r="N328" s="248" t="s">
        <v>885</v>
      </c>
      <c r="O328" s="249">
        <v>13.430347437033483</v>
      </c>
      <c r="P328" s="256">
        <v>1350644.26535</v>
      </c>
    </row>
    <row r="329" spans="1:16">
      <c r="A329" s="208">
        <v>39925</v>
      </c>
      <c r="B329" s="208">
        <v>39653</v>
      </c>
      <c r="C329" s="208" t="s">
        <v>505</v>
      </c>
      <c r="D329" s="210">
        <v>9.02</v>
      </c>
      <c r="F329" s="240"/>
      <c r="G329" s="235"/>
      <c r="H329" s="236" t="s">
        <v>523</v>
      </c>
      <c r="I329" s="239" t="s">
        <v>519</v>
      </c>
      <c r="J329" s="228" t="s">
        <v>557</v>
      </c>
      <c r="K329" s="229">
        <v>8.16</v>
      </c>
      <c r="L329" s="230">
        <v>8.4499999999999993</v>
      </c>
      <c r="N329" s="248" t="s">
        <v>886</v>
      </c>
      <c r="O329" s="249">
        <v>13.263504820504249</v>
      </c>
      <c r="P329" s="256">
        <v>1377528.52015</v>
      </c>
    </row>
    <row r="330" spans="1:16">
      <c r="A330" s="208">
        <v>39937</v>
      </c>
      <c r="B330" s="208">
        <v>39653</v>
      </c>
      <c r="C330" s="208" t="s">
        <v>506</v>
      </c>
      <c r="D330" s="210">
        <v>9.2029999999999994</v>
      </c>
      <c r="F330" s="240"/>
      <c r="G330" s="235" t="s">
        <v>526</v>
      </c>
      <c r="H330" s="236" t="s">
        <v>525</v>
      </c>
      <c r="I330" s="239" t="s">
        <v>519</v>
      </c>
      <c r="J330" s="228" t="s">
        <v>549</v>
      </c>
      <c r="K330" s="229">
        <v>8.27</v>
      </c>
      <c r="L330" s="230">
        <v>8.94</v>
      </c>
      <c r="N330" s="248" t="s">
        <v>887</v>
      </c>
      <c r="O330" s="249">
        <v>12.83336561017428</v>
      </c>
      <c r="P330" s="256">
        <v>1691946.11408</v>
      </c>
    </row>
    <row r="331" spans="1:16">
      <c r="A331" s="208">
        <v>39946</v>
      </c>
      <c r="B331" s="208">
        <v>39653</v>
      </c>
      <c r="C331" s="208" t="s">
        <v>505</v>
      </c>
      <c r="D331" s="210">
        <v>8.7739999999999991</v>
      </c>
      <c r="F331" s="240"/>
      <c r="G331" s="235"/>
      <c r="H331" s="236" t="s">
        <v>528</v>
      </c>
      <c r="I331" s="239" t="s">
        <v>519</v>
      </c>
      <c r="J331" s="228" t="s">
        <v>550</v>
      </c>
      <c r="K331" s="229">
        <v>8.09</v>
      </c>
      <c r="L331" s="230">
        <v>8.5500000000000007</v>
      </c>
      <c r="N331" s="248" t="s">
        <v>888</v>
      </c>
      <c r="O331" s="249">
        <v>13.205603198590083</v>
      </c>
      <c r="P331" s="256">
        <v>1499408.9432000001</v>
      </c>
    </row>
    <row r="332" spans="1:16">
      <c r="A332" s="208">
        <v>39959</v>
      </c>
      <c r="B332" s="208">
        <v>39653</v>
      </c>
      <c r="C332" s="208" t="s">
        <v>506</v>
      </c>
      <c r="D332" s="210">
        <v>0</v>
      </c>
      <c r="F332" s="240"/>
      <c r="G332" s="235"/>
      <c r="H332" s="236" t="s">
        <v>530</v>
      </c>
      <c r="I332" s="239" t="s">
        <v>519</v>
      </c>
      <c r="J332" s="228" t="s">
        <v>551</v>
      </c>
      <c r="K332" s="229">
        <v>8</v>
      </c>
      <c r="L332" s="230">
        <v>8.7200000000000006</v>
      </c>
      <c r="N332" s="248" t="s">
        <v>889</v>
      </c>
      <c r="O332" s="249">
        <v>13.825153277204905</v>
      </c>
      <c r="P332" s="256">
        <v>1483070.2456899998</v>
      </c>
    </row>
    <row r="333" spans="1:16">
      <c r="A333" s="208">
        <v>39960</v>
      </c>
      <c r="B333" s="208">
        <v>39653</v>
      </c>
      <c r="C333" s="208" t="s">
        <v>505</v>
      </c>
      <c r="D333" s="210">
        <v>8.9489999999999998</v>
      </c>
      <c r="F333" s="240"/>
      <c r="G333" s="235"/>
      <c r="H333" s="236" t="s">
        <v>532</v>
      </c>
      <c r="I333" s="239" t="s">
        <v>519</v>
      </c>
      <c r="J333" s="228" t="s">
        <v>552</v>
      </c>
      <c r="K333" s="229">
        <v>8.01</v>
      </c>
      <c r="L333" s="230">
        <v>8.5</v>
      </c>
      <c r="N333" s="248" t="s">
        <v>890</v>
      </c>
      <c r="O333" s="249">
        <v>13.790734322566893</v>
      </c>
      <c r="P333" s="256">
        <v>1279829.2563800002</v>
      </c>
    </row>
    <row r="334" spans="1:16">
      <c r="A334" s="208">
        <v>39972</v>
      </c>
      <c r="B334" s="208">
        <v>39653</v>
      </c>
      <c r="C334" s="208" t="s">
        <v>506</v>
      </c>
      <c r="D334" s="210">
        <v>0</v>
      </c>
      <c r="F334" s="240"/>
      <c r="G334" s="235" t="s">
        <v>535</v>
      </c>
      <c r="H334" s="236" t="s">
        <v>534</v>
      </c>
      <c r="I334" s="239" t="s">
        <v>519</v>
      </c>
      <c r="J334" s="228" t="s">
        <v>549</v>
      </c>
      <c r="K334" s="229">
        <v>7.95</v>
      </c>
      <c r="L334" s="230">
        <v>8.69</v>
      </c>
      <c r="N334" s="248" t="s">
        <v>891</v>
      </c>
      <c r="O334" s="249">
        <v>12.410207074226925</v>
      </c>
      <c r="P334" s="256">
        <v>2245063.1460899999</v>
      </c>
    </row>
    <row r="335" spans="1:16">
      <c r="A335" s="208">
        <v>39975</v>
      </c>
      <c r="B335" s="208">
        <v>39653</v>
      </c>
      <c r="C335" s="208" t="s">
        <v>505</v>
      </c>
      <c r="D335" s="210">
        <v>9.6609999999999996</v>
      </c>
      <c r="F335" s="240"/>
      <c r="G335" s="235"/>
      <c r="H335" s="236" t="s">
        <v>528</v>
      </c>
      <c r="I335" s="239" t="s">
        <v>519</v>
      </c>
      <c r="J335" s="228" t="s">
        <v>550</v>
      </c>
      <c r="K335" s="229">
        <v>7.93</v>
      </c>
      <c r="L335" s="230">
        <v>8.52</v>
      </c>
      <c r="N335" s="248" t="s">
        <v>892</v>
      </c>
      <c r="O335" s="249">
        <v>13.017340652432775</v>
      </c>
      <c r="P335" s="256">
        <v>660757.05374</v>
      </c>
    </row>
    <row r="336" spans="1:16">
      <c r="A336" s="208">
        <v>39987</v>
      </c>
      <c r="B336" s="208">
        <v>39653</v>
      </c>
      <c r="C336" s="208" t="s">
        <v>506</v>
      </c>
      <c r="D336" s="210">
        <v>0</v>
      </c>
      <c r="F336" s="240"/>
      <c r="G336" s="235"/>
      <c r="H336" s="236" t="s">
        <v>530</v>
      </c>
      <c r="I336" s="239" t="s">
        <v>519</v>
      </c>
      <c r="J336" s="228" t="s">
        <v>551</v>
      </c>
      <c r="K336" s="229">
        <v>7.98</v>
      </c>
      <c r="L336" s="230">
        <v>8.32</v>
      </c>
      <c r="N336" s="248" t="s">
        <v>893</v>
      </c>
      <c r="O336" s="249">
        <v>12.628399143137488</v>
      </c>
      <c r="P336" s="256">
        <v>2459632.0587800001</v>
      </c>
    </row>
    <row r="337" spans="1:16">
      <c r="A337" s="208">
        <v>39988</v>
      </c>
      <c r="B337" s="208">
        <v>39653</v>
      </c>
      <c r="C337" s="208" t="s">
        <v>505</v>
      </c>
      <c r="D337" s="210">
        <v>10.039999999999999</v>
      </c>
      <c r="F337" s="240"/>
      <c r="G337" s="235"/>
      <c r="H337" s="236" t="s">
        <v>532</v>
      </c>
      <c r="I337" s="239" t="s">
        <v>519</v>
      </c>
      <c r="J337" s="228" t="s">
        <v>552</v>
      </c>
      <c r="K337" s="229">
        <v>7.94</v>
      </c>
      <c r="L337" s="230">
        <v>7.94</v>
      </c>
      <c r="N337" s="248" t="s">
        <v>894</v>
      </c>
      <c r="O337" s="249">
        <v>12.744050238964682</v>
      </c>
      <c r="P337" s="256">
        <v>1473332.07977</v>
      </c>
    </row>
    <row r="338" spans="1:16">
      <c r="A338" s="208">
        <v>40000</v>
      </c>
      <c r="B338" s="208">
        <v>39653</v>
      </c>
      <c r="C338" s="208" t="s">
        <v>506</v>
      </c>
      <c r="D338" s="210">
        <v>10.032999999999999</v>
      </c>
      <c r="F338" s="240"/>
      <c r="G338" s="235" t="s">
        <v>537</v>
      </c>
      <c r="H338" s="236" t="s">
        <v>534</v>
      </c>
      <c r="I338" s="239" t="s">
        <v>519</v>
      </c>
      <c r="J338" s="228" t="s">
        <v>545</v>
      </c>
      <c r="K338" s="229">
        <v>8.01</v>
      </c>
      <c r="L338" s="230">
        <v>8.01</v>
      </c>
      <c r="N338" s="248" t="s">
        <v>895</v>
      </c>
      <c r="O338" s="249">
        <v>12.216709062385668</v>
      </c>
      <c r="P338" s="256">
        <v>1954753.6057899999</v>
      </c>
    </row>
    <row r="339" spans="1:16">
      <c r="A339" s="208">
        <v>40002</v>
      </c>
      <c r="B339" s="208">
        <v>39653</v>
      </c>
      <c r="C339" s="208" t="s">
        <v>505</v>
      </c>
      <c r="D339" s="210">
        <v>9.3510000000000009</v>
      </c>
      <c r="F339" s="240"/>
      <c r="G339" s="235"/>
      <c r="H339" s="236" t="s">
        <v>518</v>
      </c>
      <c r="I339" s="239" t="s">
        <v>519</v>
      </c>
      <c r="J339" s="228" t="s">
        <v>520</v>
      </c>
      <c r="K339" s="229">
        <v>7.96</v>
      </c>
      <c r="L339" s="230">
        <v>8.09</v>
      </c>
      <c r="N339" s="248" t="s">
        <v>896</v>
      </c>
      <c r="O339" s="249">
        <v>13.065702272424943</v>
      </c>
      <c r="P339" s="256">
        <v>1632015.9739000001</v>
      </c>
    </row>
    <row r="340" spans="1:16">
      <c r="A340" s="208">
        <v>40015</v>
      </c>
      <c r="B340" s="208">
        <v>39653</v>
      </c>
      <c r="C340" s="208" t="s">
        <v>506</v>
      </c>
      <c r="D340" s="210">
        <v>9.391</v>
      </c>
      <c r="F340" s="240"/>
      <c r="G340" s="235"/>
      <c r="H340" s="236" t="s">
        <v>521</v>
      </c>
      <c r="I340" s="239" t="s">
        <v>519</v>
      </c>
      <c r="J340" s="228" t="s">
        <v>522</v>
      </c>
      <c r="K340" s="229">
        <v>7.91</v>
      </c>
      <c r="L340" s="230">
        <v>7.93</v>
      </c>
      <c r="N340" s="248" t="s">
        <v>897</v>
      </c>
      <c r="O340" s="249">
        <v>12.978324908481355</v>
      </c>
      <c r="P340" s="256">
        <v>2121883.2206599996</v>
      </c>
    </row>
    <row r="341" spans="1:16">
      <c r="A341" s="208">
        <v>40016</v>
      </c>
      <c r="B341" s="208">
        <v>39653</v>
      </c>
      <c r="C341" s="208" t="s">
        <v>505</v>
      </c>
      <c r="D341" s="210">
        <v>8.8680000000000003</v>
      </c>
      <c r="F341" s="240"/>
      <c r="G341" s="235"/>
      <c r="H341" s="236" t="s">
        <v>540</v>
      </c>
      <c r="I341" s="239" t="s">
        <v>519</v>
      </c>
      <c r="J341" s="228" t="s">
        <v>523</v>
      </c>
      <c r="K341" s="229">
        <v>7.86</v>
      </c>
      <c r="L341" s="230">
        <v>7.89</v>
      </c>
      <c r="N341" s="248" t="s">
        <v>898</v>
      </c>
      <c r="O341" s="249">
        <v>12.863524896576642</v>
      </c>
      <c r="P341" s="256">
        <v>1610918.7531799998</v>
      </c>
    </row>
    <row r="342" spans="1:16">
      <c r="A342" s="208">
        <v>40028</v>
      </c>
      <c r="B342" s="208">
        <v>39653</v>
      </c>
      <c r="C342" s="208" t="s">
        <v>506</v>
      </c>
      <c r="D342" s="210">
        <v>9.0190000000000001</v>
      </c>
      <c r="F342" s="240"/>
      <c r="G342" s="241" t="s">
        <v>544</v>
      </c>
      <c r="H342" s="236" t="s">
        <v>524</v>
      </c>
      <c r="I342" s="239" t="s">
        <v>519</v>
      </c>
      <c r="J342" s="228" t="s">
        <v>527</v>
      </c>
      <c r="K342" s="229">
        <v>7.81</v>
      </c>
      <c r="L342" s="230">
        <v>8.3000000000000007</v>
      </c>
      <c r="N342" s="248" t="s">
        <v>899</v>
      </c>
      <c r="O342" s="249">
        <v>11.872335484782841</v>
      </c>
      <c r="P342" s="256">
        <v>1772937.8918699999</v>
      </c>
    </row>
    <row r="343" spans="1:16">
      <c r="A343" s="208">
        <v>40037</v>
      </c>
      <c r="B343" s="208">
        <v>39653</v>
      </c>
      <c r="C343" s="208" t="s">
        <v>505</v>
      </c>
      <c r="D343" s="210">
        <v>9.2200000000000006</v>
      </c>
      <c r="F343" s="240"/>
      <c r="G343" s="241"/>
      <c r="H343" s="236" t="s">
        <v>543</v>
      </c>
      <c r="I343" s="239" t="s">
        <v>519</v>
      </c>
      <c r="J343" s="228" t="s">
        <v>529</v>
      </c>
      <c r="K343" s="229">
        <v>7.77</v>
      </c>
      <c r="L343" s="230">
        <v>7.83</v>
      </c>
      <c r="N343" s="248" t="s">
        <v>900</v>
      </c>
      <c r="O343" s="249">
        <v>12.613514821730742</v>
      </c>
      <c r="P343" s="256">
        <v>1780602.3588299998</v>
      </c>
    </row>
    <row r="344" spans="1:16">
      <c r="A344" s="208">
        <v>40049</v>
      </c>
      <c r="B344" s="208">
        <v>39653</v>
      </c>
      <c r="C344" s="208" t="s">
        <v>506</v>
      </c>
      <c r="D344" s="210">
        <v>0</v>
      </c>
      <c r="F344" s="240"/>
      <c r="G344" s="241"/>
      <c r="H344" s="236" t="s">
        <v>546</v>
      </c>
      <c r="I344" s="239" t="s">
        <v>519</v>
      </c>
      <c r="J344" s="228" t="s">
        <v>531</v>
      </c>
      <c r="K344" s="229">
        <v>7.81</v>
      </c>
      <c r="L344" s="230">
        <v>7.99</v>
      </c>
      <c r="N344" s="248" t="s">
        <v>901</v>
      </c>
      <c r="O344" s="249">
        <v>12.518484807556895</v>
      </c>
      <c r="P344" s="256">
        <v>1891786.4930799999</v>
      </c>
    </row>
    <row r="345" spans="1:16">
      <c r="A345" s="208">
        <v>40051</v>
      </c>
      <c r="B345" s="208">
        <v>39653</v>
      </c>
      <c r="C345" s="208" t="s">
        <v>505</v>
      </c>
      <c r="D345" s="210">
        <v>9.5980000000000008</v>
      </c>
      <c r="F345" s="240"/>
      <c r="G345" s="241"/>
      <c r="H345" s="236" t="s">
        <v>547</v>
      </c>
      <c r="I345" s="239" t="s">
        <v>519</v>
      </c>
      <c r="J345" s="228" t="s">
        <v>533</v>
      </c>
      <c r="K345" s="229">
        <v>7.87</v>
      </c>
      <c r="L345" s="230">
        <v>8.08</v>
      </c>
      <c r="N345" s="248" t="s">
        <v>902</v>
      </c>
      <c r="O345" s="249">
        <v>12.390392982468017</v>
      </c>
      <c r="P345" s="256">
        <v>1721089.1945999998</v>
      </c>
    </row>
    <row r="346" spans="1:16">
      <c r="A346" s="208">
        <v>40063</v>
      </c>
      <c r="B346" s="208">
        <v>39653</v>
      </c>
      <c r="C346" s="208" t="s">
        <v>506</v>
      </c>
      <c r="D346" s="210">
        <v>9.6189999999999998</v>
      </c>
      <c r="F346" s="240"/>
      <c r="G346" s="241"/>
      <c r="H346" s="236" t="s">
        <v>555</v>
      </c>
      <c r="I346" s="239" t="s">
        <v>519</v>
      </c>
      <c r="J346" s="228" t="s">
        <v>536</v>
      </c>
      <c r="K346" s="229">
        <v>7.76</v>
      </c>
      <c r="L346" s="230">
        <v>8.17</v>
      </c>
      <c r="N346" s="248" t="s">
        <v>903</v>
      </c>
      <c r="O346" s="249">
        <v>11.875257196012628</v>
      </c>
      <c r="P346" s="256">
        <v>1567842.9220300002</v>
      </c>
    </row>
    <row r="347" spans="1:16">
      <c r="A347" s="208">
        <v>40065</v>
      </c>
      <c r="B347" s="208">
        <v>39653</v>
      </c>
      <c r="C347" s="208" t="s">
        <v>505</v>
      </c>
      <c r="D347" s="210">
        <v>9.6</v>
      </c>
      <c r="F347" s="240"/>
      <c r="G347" s="235" t="s">
        <v>548</v>
      </c>
      <c r="H347" s="236" t="s">
        <v>557</v>
      </c>
      <c r="I347" s="239" t="s">
        <v>519</v>
      </c>
      <c r="J347" s="228" t="s">
        <v>538</v>
      </c>
      <c r="K347" s="229">
        <v>7.75</v>
      </c>
      <c r="L347" s="230">
        <v>8</v>
      </c>
      <c r="N347" s="248" t="s">
        <v>904</v>
      </c>
      <c r="O347" s="249">
        <v>12.126793344276919</v>
      </c>
      <c r="P347" s="256">
        <v>2053845.9132999999</v>
      </c>
    </row>
    <row r="348" spans="1:16">
      <c r="A348" s="208">
        <v>40077</v>
      </c>
      <c r="B348" s="208">
        <v>39653</v>
      </c>
      <c r="C348" s="208" t="s">
        <v>506</v>
      </c>
      <c r="D348" s="210">
        <v>9.6029999999999998</v>
      </c>
      <c r="F348" s="240"/>
      <c r="G348" s="235"/>
      <c r="H348" s="236" t="s">
        <v>549</v>
      </c>
      <c r="I348" s="239" t="s">
        <v>519</v>
      </c>
      <c r="J348" s="228" t="s">
        <v>539</v>
      </c>
      <c r="K348" s="229">
        <v>7.67</v>
      </c>
      <c r="L348" s="230">
        <v>8</v>
      </c>
      <c r="N348" s="248" t="s">
        <v>905</v>
      </c>
      <c r="O348" s="249">
        <v>12.858630180238029</v>
      </c>
      <c r="P348" s="256">
        <v>1879731.1820700001</v>
      </c>
    </row>
    <row r="349" spans="1:16">
      <c r="A349" s="208">
        <v>40079</v>
      </c>
      <c r="B349" s="208">
        <v>39653</v>
      </c>
      <c r="C349" s="208" t="s">
        <v>505</v>
      </c>
      <c r="D349" s="210">
        <v>9.4039999999999999</v>
      </c>
      <c r="F349" s="240"/>
      <c r="G349" s="235"/>
      <c r="H349" s="236" t="s">
        <v>550</v>
      </c>
      <c r="I349" s="239" t="s">
        <v>519</v>
      </c>
      <c r="J349" s="228" t="s">
        <v>541</v>
      </c>
      <c r="K349" s="229">
        <v>7.69</v>
      </c>
      <c r="L349" s="230">
        <v>6.88</v>
      </c>
      <c r="N349" s="248" t="s">
        <v>906</v>
      </c>
      <c r="O349" s="249">
        <v>12.58905216885327</v>
      </c>
      <c r="P349" s="256">
        <v>2432772.3810399999</v>
      </c>
    </row>
    <row r="350" spans="1:16" ht="15.75" thickBot="1">
      <c r="A350" s="208">
        <v>40091</v>
      </c>
      <c r="B350" s="208">
        <v>39653</v>
      </c>
      <c r="C350" s="208" t="s">
        <v>506</v>
      </c>
      <c r="D350" s="210">
        <v>9.4120000000000008</v>
      </c>
      <c r="F350" s="240"/>
      <c r="G350" s="235"/>
      <c r="H350" s="236" t="s">
        <v>551</v>
      </c>
      <c r="I350" s="239" t="s">
        <v>519</v>
      </c>
      <c r="J350" s="228" t="s">
        <v>542</v>
      </c>
      <c r="K350" s="229">
        <v>7.79</v>
      </c>
      <c r="L350" s="230">
        <v>6.72</v>
      </c>
      <c r="N350" s="248" t="s">
        <v>907</v>
      </c>
      <c r="O350" s="249">
        <v>12.606427759199194</v>
      </c>
      <c r="P350" s="256">
        <v>1194619.77287</v>
      </c>
    </row>
    <row r="351" spans="1:16" ht="15.75" thickBot="1">
      <c r="A351" s="643" t="s">
        <v>495</v>
      </c>
      <c r="B351" s="644"/>
      <c r="C351" s="645"/>
      <c r="D351" s="211">
        <f>AVERAGE(D325:D350)</f>
        <v>7.9740384615384619</v>
      </c>
      <c r="F351" s="240"/>
      <c r="G351" s="235" t="s">
        <v>553</v>
      </c>
      <c r="H351" s="236" t="s">
        <v>552</v>
      </c>
      <c r="I351" s="239" t="s">
        <v>519</v>
      </c>
      <c r="J351" s="228" t="s">
        <v>545</v>
      </c>
      <c r="K351" s="229">
        <v>7.73</v>
      </c>
      <c r="L351" s="230">
        <v>7.19</v>
      </c>
      <c r="N351" s="248" t="s">
        <v>908</v>
      </c>
      <c r="O351" s="249">
        <v>12.634272074844601</v>
      </c>
      <c r="P351" s="256">
        <v>1686568.3654500002</v>
      </c>
    </row>
    <row r="352" spans="1:16">
      <c r="F352" s="240"/>
      <c r="G352" s="235"/>
      <c r="H352" s="236" t="s">
        <v>518</v>
      </c>
      <c r="I352" s="239" t="s">
        <v>519</v>
      </c>
      <c r="J352" s="228" t="s">
        <v>520</v>
      </c>
      <c r="K352" s="229">
        <v>7.64</v>
      </c>
      <c r="L352" s="230">
        <v>7.24</v>
      </c>
      <c r="N352" s="248" t="s">
        <v>909</v>
      </c>
      <c r="O352" s="249">
        <v>12.646777614721087</v>
      </c>
      <c r="P352" s="256">
        <v>1434130.3528200001</v>
      </c>
    </row>
    <row r="353" spans="1:16">
      <c r="F353" s="240"/>
      <c r="G353" s="235"/>
      <c r="H353" s="236" t="s">
        <v>521</v>
      </c>
      <c r="I353" s="239" t="s">
        <v>519</v>
      </c>
      <c r="J353" s="228" t="s">
        <v>522</v>
      </c>
      <c r="K353" s="229">
        <v>7.59</v>
      </c>
      <c r="L353" s="230">
        <v>7.77</v>
      </c>
      <c r="N353" s="248" t="s">
        <v>910</v>
      </c>
      <c r="O353" s="249">
        <v>13.409665667510151</v>
      </c>
      <c r="P353" s="256">
        <v>1799294.6572700001</v>
      </c>
    </row>
    <row r="354" spans="1:16">
      <c r="A354" s="242" t="s">
        <v>1146</v>
      </c>
      <c r="F354" s="240"/>
      <c r="G354" s="235"/>
      <c r="H354" s="236" t="s">
        <v>540</v>
      </c>
      <c r="I354" s="239" t="s">
        <v>519</v>
      </c>
      <c r="J354" s="228" t="s">
        <v>523</v>
      </c>
      <c r="K354" s="229">
        <v>7.59</v>
      </c>
      <c r="L354" s="230">
        <v>7.62</v>
      </c>
      <c r="N354" s="248" t="s">
        <v>911</v>
      </c>
      <c r="O354" s="249">
        <v>12.576252362016248</v>
      </c>
      <c r="P354" s="256">
        <v>1524399.7458299999</v>
      </c>
    </row>
    <row r="355" spans="1:16">
      <c r="A355" s="243" t="s">
        <v>1147</v>
      </c>
      <c r="F355" s="240"/>
      <c r="G355" s="235"/>
      <c r="H355" s="236" t="s">
        <v>524</v>
      </c>
      <c r="I355" s="239" t="s">
        <v>519</v>
      </c>
      <c r="J355" s="228" t="s">
        <v>525</v>
      </c>
      <c r="K355" s="229">
        <v>7.58</v>
      </c>
      <c r="L355" s="230">
        <v>7.43</v>
      </c>
      <c r="N355" s="248" t="s">
        <v>912</v>
      </c>
      <c r="O355" s="249">
        <v>12.895822333260504</v>
      </c>
      <c r="P355" s="256">
        <v>1675591.11567</v>
      </c>
    </row>
    <row r="356" spans="1:16">
      <c r="A356" s="214"/>
      <c r="F356" s="240"/>
      <c r="G356" s="235" t="s">
        <v>554</v>
      </c>
      <c r="H356" s="236" t="s">
        <v>527</v>
      </c>
      <c r="I356" s="239" t="s">
        <v>519</v>
      </c>
      <c r="J356" s="228" t="s">
        <v>528</v>
      </c>
      <c r="K356" s="229">
        <v>7.49</v>
      </c>
      <c r="L356" s="230">
        <v>7.51</v>
      </c>
      <c r="N356" s="248" t="s">
        <v>913</v>
      </c>
      <c r="O356" s="249">
        <v>12.489663039453921</v>
      </c>
      <c r="P356" s="256">
        <v>1493067.1433699999</v>
      </c>
    </row>
    <row r="357" spans="1:16">
      <c r="F357" s="240"/>
      <c r="G357" s="235"/>
      <c r="H357" s="236" t="s">
        <v>529</v>
      </c>
      <c r="I357" s="239" t="s">
        <v>519</v>
      </c>
      <c r="J357" s="228" t="s">
        <v>530</v>
      </c>
      <c r="K357" s="229">
        <v>7.54</v>
      </c>
      <c r="L357" s="230">
        <v>7.65</v>
      </c>
      <c r="N357" s="248" t="s">
        <v>914</v>
      </c>
      <c r="O357" s="249">
        <v>13.233793453462029</v>
      </c>
      <c r="P357" s="256">
        <v>1587567.5006499998</v>
      </c>
    </row>
    <row r="358" spans="1:16">
      <c r="F358" s="240"/>
      <c r="G358" s="235"/>
      <c r="H358" s="236" t="s">
        <v>531</v>
      </c>
      <c r="I358" s="239" t="s">
        <v>519</v>
      </c>
      <c r="J358" s="228" t="s">
        <v>532</v>
      </c>
      <c r="K358" s="229">
        <v>7.53</v>
      </c>
      <c r="L358" s="230">
        <v>7.65</v>
      </c>
      <c r="N358" s="248" t="s">
        <v>915</v>
      </c>
      <c r="O358" s="249">
        <v>12.787825268297393</v>
      </c>
      <c r="P358" s="256">
        <v>2058934.8909</v>
      </c>
    </row>
    <row r="359" spans="1:16">
      <c r="F359" s="240"/>
      <c r="G359" s="235"/>
      <c r="H359" s="236" t="s">
        <v>533</v>
      </c>
      <c r="I359" s="239" t="s">
        <v>519</v>
      </c>
      <c r="J359" s="228" t="s">
        <v>534</v>
      </c>
      <c r="K359" s="229">
        <v>7.48</v>
      </c>
      <c r="L359" s="230">
        <v>7.65</v>
      </c>
      <c r="N359" s="248" t="s">
        <v>916</v>
      </c>
      <c r="O359" s="249">
        <v>12.867746321653026</v>
      </c>
      <c r="P359" s="256">
        <v>1514060.9626200001</v>
      </c>
    </row>
    <row r="360" spans="1:16">
      <c r="F360" s="240"/>
      <c r="G360" s="235" t="s">
        <v>556</v>
      </c>
      <c r="H360" s="236" t="s">
        <v>536</v>
      </c>
      <c r="I360" s="239" t="s">
        <v>519</v>
      </c>
      <c r="J360" s="228" t="s">
        <v>518</v>
      </c>
      <c r="K360" s="229">
        <v>7.5</v>
      </c>
      <c r="L360" s="230">
        <v>7.98</v>
      </c>
      <c r="N360" s="248" t="s">
        <v>917</v>
      </c>
      <c r="O360" s="249">
        <v>12.875557842647982</v>
      </c>
      <c r="P360" s="256">
        <v>1623065.8009299999</v>
      </c>
    </row>
    <row r="361" spans="1:16">
      <c r="F361" s="240"/>
      <c r="G361" s="235"/>
      <c r="H361" s="236" t="s">
        <v>538</v>
      </c>
      <c r="I361" s="239" t="s">
        <v>519</v>
      </c>
      <c r="J361" s="228" t="s">
        <v>521</v>
      </c>
      <c r="K361" s="229">
        <v>7.42</v>
      </c>
      <c r="L361" s="230">
        <v>7.65</v>
      </c>
      <c r="N361" s="248" t="s">
        <v>918</v>
      </c>
      <c r="O361" s="249">
        <v>12.882726561305097</v>
      </c>
      <c r="P361" s="256">
        <v>1587119.9099600001</v>
      </c>
    </row>
    <row r="362" spans="1:16">
      <c r="F362" s="240"/>
      <c r="G362" s="235"/>
      <c r="H362" s="236" t="s">
        <v>539</v>
      </c>
      <c r="I362" s="239" t="s">
        <v>519</v>
      </c>
      <c r="J362" s="228" t="s">
        <v>540</v>
      </c>
      <c r="K362" s="229">
        <v>7.46</v>
      </c>
      <c r="L362" s="230">
        <v>7.72</v>
      </c>
      <c r="N362" s="248" t="s">
        <v>919</v>
      </c>
      <c r="O362" s="249">
        <v>12.867474671360737</v>
      </c>
      <c r="P362" s="256">
        <v>2189667.3456400004</v>
      </c>
    </row>
    <row r="363" spans="1:16">
      <c r="F363" s="240"/>
      <c r="G363" s="235"/>
      <c r="H363" s="236" t="s">
        <v>541</v>
      </c>
      <c r="I363" s="239" t="s">
        <v>519</v>
      </c>
      <c r="J363" s="228" t="s">
        <v>524</v>
      </c>
      <c r="K363" s="229">
        <v>7.46</v>
      </c>
      <c r="L363" s="230">
        <v>7.57</v>
      </c>
      <c r="N363" s="248" t="s">
        <v>920</v>
      </c>
      <c r="O363" s="249">
        <v>11.986165091917748</v>
      </c>
      <c r="P363" s="256">
        <v>1714508.86415</v>
      </c>
    </row>
    <row r="364" spans="1:16">
      <c r="F364" s="240"/>
      <c r="G364" s="235" t="s">
        <v>558</v>
      </c>
      <c r="H364" s="236" t="s">
        <v>542</v>
      </c>
      <c r="I364" s="239" t="s">
        <v>519</v>
      </c>
      <c r="J364" s="228" t="s">
        <v>543</v>
      </c>
      <c r="K364" s="229">
        <v>7.36</v>
      </c>
      <c r="L364" s="230">
        <v>7.38</v>
      </c>
      <c r="N364" s="248" t="s">
        <v>921</v>
      </c>
      <c r="O364" s="249">
        <v>11.608146825038661</v>
      </c>
      <c r="P364" s="256">
        <v>1974840.4599000001</v>
      </c>
    </row>
    <row r="365" spans="1:16">
      <c r="F365" s="240"/>
      <c r="G365" s="235"/>
      <c r="H365" s="236" t="s">
        <v>545</v>
      </c>
      <c r="I365" s="239" t="s">
        <v>519</v>
      </c>
      <c r="J365" s="228" t="s">
        <v>546</v>
      </c>
      <c r="K365" s="229">
        <v>7.37</v>
      </c>
      <c r="L365" s="230">
        <v>7.65</v>
      </c>
      <c r="N365" s="248" t="s">
        <v>922</v>
      </c>
      <c r="O365" s="249">
        <v>11.650957898936651</v>
      </c>
      <c r="P365" s="256">
        <v>1744077.5203300002</v>
      </c>
    </row>
    <row r="366" spans="1:16">
      <c r="F366" s="240"/>
      <c r="G366" s="235"/>
      <c r="H366" s="236" t="s">
        <v>520</v>
      </c>
      <c r="I366" s="239" t="s">
        <v>519</v>
      </c>
      <c r="J366" s="228" t="s">
        <v>547</v>
      </c>
      <c r="K366" s="229">
        <v>7.05</v>
      </c>
      <c r="L366" s="230">
        <v>6.86</v>
      </c>
      <c r="N366" s="248" t="s">
        <v>923</v>
      </c>
      <c r="O366" s="249">
        <v>11.971720059063303</v>
      </c>
      <c r="P366" s="256">
        <v>2114712.8757600002</v>
      </c>
    </row>
    <row r="367" spans="1:16">
      <c r="F367" s="240"/>
      <c r="G367" s="235"/>
      <c r="H367" s="236" t="s">
        <v>522</v>
      </c>
      <c r="I367" s="239" t="s">
        <v>519</v>
      </c>
      <c r="J367" s="228" t="s">
        <v>555</v>
      </c>
      <c r="K367" s="229">
        <v>7.24</v>
      </c>
      <c r="L367" s="230">
        <v>6.7</v>
      </c>
      <c r="N367" s="248" t="s">
        <v>924</v>
      </c>
      <c r="O367" s="249">
        <v>11.870982999708367</v>
      </c>
      <c r="P367" s="256">
        <v>2073032.07552</v>
      </c>
    </row>
    <row r="368" spans="1:16">
      <c r="F368" s="240"/>
      <c r="G368" s="235"/>
      <c r="H368" s="236" t="s">
        <v>523</v>
      </c>
      <c r="I368" s="239" t="s">
        <v>519</v>
      </c>
      <c r="J368" s="228" t="s">
        <v>557</v>
      </c>
      <c r="K368" s="229">
        <v>7.12</v>
      </c>
      <c r="L368" s="230">
        <v>6.1</v>
      </c>
      <c r="N368" s="248" t="s">
        <v>925</v>
      </c>
      <c r="O368" s="249">
        <v>11.618171892643575</v>
      </c>
      <c r="P368" s="256">
        <v>1626001.03654</v>
      </c>
    </row>
    <row r="369" spans="6:16">
      <c r="F369" s="240"/>
      <c r="G369" s="235" t="s">
        <v>559</v>
      </c>
      <c r="H369" s="236" t="s">
        <v>525</v>
      </c>
      <c r="I369" s="239" t="s">
        <v>519</v>
      </c>
      <c r="J369" s="228" t="s">
        <v>549</v>
      </c>
      <c r="K369" s="229">
        <v>7.08</v>
      </c>
      <c r="L369" s="230">
        <v>6.2</v>
      </c>
      <c r="N369" s="248" t="s">
        <v>926</v>
      </c>
      <c r="O369" s="249">
        <v>11.934517071492531</v>
      </c>
      <c r="P369" s="256">
        <v>1628023.1872</v>
      </c>
    </row>
    <row r="370" spans="6:16">
      <c r="F370" s="240"/>
      <c r="G370" s="235"/>
      <c r="H370" s="236" t="s">
        <v>528</v>
      </c>
      <c r="I370" s="239" t="s">
        <v>519</v>
      </c>
      <c r="J370" s="228" t="s">
        <v>550</v>
      </c>
      <c r="K370" s="229">
        <v>7.09</v>
      </c>
      <c r="L370" s="230">
        <v>6.8</v>
      </c>
      <c r="N370" s="248" t="s">
        <v>927</v>
      </c>
      <c r="O370" s="249">
        <v>12.148418061453624</v>
      </c>
      <c r="P370" s="256">
        <v>1882179.5832799999</v>
      </c>
    </row>
    <row r="371" spans="6:16">
      <c r="F371" s="240"/>
      <c r="G371" s="235"/>
      <c r="H371" s="236" t="s">
        <v>530</v>
      </c>
      <c r="I371" s="239" t="s">
        <v>519</v>
      </c>
      <c r="J371" s="228" t="s">
        <v>551</v>
      </c>
      <c r="K371" s="229">
        <v>7.13</v>
      </c>
      <c r="L371" s="230">
        <v>7.05</v>
      </c>
      <c r="N371" s="248" t="s">
        <v>928</v>
      </c>
      <c r="O371" s="249">
        <v>12.509355476702646</v>
      </c>
      <c r="P371" s="256">
        <v>2235492.1007099999</v>
      </c>
    </row>
    <row r="372" spans="6:16">
      <c r="F372" s="240"/>
      <c r="G372" s="235"/>
      <c r="H372" s="236" t="s">
        <v>532</v>
      </c>
      <c r="I372" s="239" t="s">
        <v>519</v>
      </c>
      <c r="J372" s="228" t="s">
        <v>552</v>
      </c>
      <c r="K372" s="229">
        <v>7.09</v>
      </c>
      <c r="L372" s="230">
        <v>6.99</v>
      </c>
      <c r="N372" s="248" t="s">
        <v>929</v>
      </c>
      <c r="O372" s="249">
        <v>12.094903126246738</v>
      </c>
      <c r="P372" s="256">
        <v>1485820.0832100001</v>
      </c>
    </row>
    <row r="373" spans="6:16">
      <c r="F373" s="240"/>
      <c r="G373" s="235" t="s">
        <v>560</v>
      </c>
      <c r="H373" s="236" t="s">
        <v>534</v>
      </c>
      <c r="I373" s="239" t="s">
        <v>519</v>
      </c>
      <c r="J373" s="228" t="s">
        <v>518</v>
      </c>
      <c r="K373" s="229">
        <v>7.06</v>
      </c>
      <c r="L373" s="230">
        <v>7.2</v>
      </c>
      <c r="N373" s="248" t="s">
        <v>930</v>
      </c>
      <c r="O373" s="249">
        <v>11.687074033880075</v>
      </c>
      <c r="P373" s="256">
        <v>2435572.1342500001</v>
      </c>
    </row>
    <row r="374" spans="6:16">
      <c r="F374" s="240"/>
      <c r="G374" s="235"/>
      <c r="H374" s="236" t="s">
        <v>538</v>
      </c>
      <c r="I374" s="239" t="s">
        <v>519</v>
      </c>
      <c r="J374" s="228" t="s">
        <v>521</v>
      </c>
      <c r="K374" s="229">
        <v>6.88</v>
      </c>
      <c r="L374" s="230">
        <v>6.8</v>
      </c>
      <c r="N374" s="248" t="s">
        <v>931</v>
      </c>
      <c r="O374" s="249">
        <v>11.856669783155978</v>
      </c>
      <c r="P374" s="256">
        <v>2435278.8851300003</v>
      </c>
    </row>
    <row r="375" spans="6:16" ht="15.75" thickBot="1">
      <c r="F375" s="240"/>
      <c r="G375" s="235"/>
      <c r="H375" s="236" t="s">
        <v>539</v>
      </c>
      <c r="I375" s="239" t="s">
        <v>519</v>
      </c>
      <c r="J375" s="228" t="s">
        <v>540</v>
      </c>
      <c r="K375" s="229">
        <v>6.91</v>
      </c>
      <c r="L375" s="230">
        <v>6.99</v>
      </c>
      <c r="N375" s="248" t="s">
        <v>932</v>
      </c>
      <c r="O375" s="249">
        <v>12.129152751039307</v>
      </c>
      <c r="P375" s="256">
        <v>2416711.5235499996</v>
      </c>
    </row>
    <row r="376" spans="6:16" ht="16.5" thickBot="1">
      <c r="F376" s="240"/>
      <c r="G376" s="235"/>
      <c r="H376" s="236" t="s">
        <v>541</v>
      </c>
      <c r="I376" s="239" t="s">
        <v>519</v>
      </c>
      <c r="J376" s="228" t="s">
        <v>524</v>
      </c>
      <c r="K376" s="229">
        <v>7.15</v>
      </c>
      <c r="L376" s="230">
        <v>7.11</v>
      </c>
      <c r="N376" s="251" t="s">
        <v>561</v>
      </c>
      <c r="O376" s="252">
        <f>AVERAGE(O324:O375)</f>
        <v>12.584274827456424</v>
      </c>
      <c r="P376" s="256"/>
    </row>
    <row r="377" spans="6:16" ht="15.75" thickBot="1">
      <c r="F377" s="640" t="s">
        <v>561</v>
      </c>
      <c r="G377" s="641"/>
      <c r="H377" s="641"/>
      <c r="I377" s="641"/>
      <c r="J377" s="641"/>
      <c r="K377" s="642"/>
      <c r="L377" s="234">
        <f>AVERAGE(L325:L376)</f>
        <v>7.728653846153847</v>
      </c>
      <c r="N377" s="248" t="s">
        <v>933</v>
      </c>
      <c r="O377" s="253">
        <v>11.450852796148801</v>
      </c>
      <c r="P377" s="250">
        <v>1259817.85993</v>
      </c>
    </row>
    <row r="378" spans="6:16">
      <c r="F378" s="240">
        <v>2006</v>
      </c>
      <c r="G378" s="235" t="s">
        <v>517</v>
      </c>
      <c r="H378" s="236" t="s">
        <v>542</v>
      </c>
      <c r="I378" s="239" t="s">
        <v>519</v>
      </c>
      <c r="J378" s="228" t="s">
        <v>527</v>
      </c>
      <c r="K378" s="229">
        <v>7.09</v>
      </c>
      <c r="L378" s="230">
        <v>7.55</v>
      </c>
      <c r="N378" s="248" t="s">
        <v>934</v>
      </c>
      <c r="O378" s="253">
        <v>11.173956970031265</v>
      </c>
      <c r="P378" s="250">
        <v>1275527.7366999998</v>
      </c>
    </row>
    <row r="379" spans="6:16">
      <c r="F379" s="240"/>
      <c r="G379" s="235"/>
      <c r="H379" s="236" t="s">
        <v>543</v>
      </c>
      <c r="I379" s="239" t="s">
        <v>519</v>
      </c>
      <c r="J379" s="228" t="s">
        <v>529</v>
      </c>
      <c r="K379" s="229">
        <v>6.97</v>
      </c>
      <c r="L379" s="230">
        <v>7.26</v>
      </c>
      <c r="N379" s="248" t="s">
        <v>935</v>
      </c>
      <c r="O379" s="253">
        <v>11.465541102384892</v>
      </c>
      <c r="P379" s="250">
        <v>1790812.3003200002</v>
      </c>
    </row>
    <row r="380" spans="6:16">
      <c r="F380" s="240"/>
      <c r="G380" s="235"/>
      <c r="H380" s="236" t="s">
        <v>546</v>
      </c>
      <c r="I380" s="239" t="s">
        <v>519</v>
      </c>
      <c r="J380" s="228" t="s">
        <v>531</v>
      </c>
      <c r="K380" s="229">
        <v>6.87</v>
      </c>
      <c r="L380" s="230">
        <v>7.19</v>
      </c>
      <c r="N380" s="248" t="s">
        <v>936</v>
      </c>
      <c r="O380" s="253">
        <v>11.833165704537411</v>
      </c>
      <c r="P380" s="250">
        <v>1734081.2175999999</v>
      </c>
    </row>
    <row r="381" spans="6:16">
      <c r="F381" s="240"/>
      <c r="G381" s="235"/>
      <c r="H381" s="236" t="s">
        <v>547</v>
      </c>
      <c r="I381" s="239" t="s">
        <v>519</v>
      </c>
      <c r="J381" s="228" t="s">
        <v>533</v>
      </c>
      <c r="K381" s="229">
        <v>6.88</v>
      </c>
      <c r="L381" s="230">
        <v>7.02</v>
      </c>
      <c r="N381" s="248" t="s">
        <v>937</v>
      </c>
      <c r="O381" s="253">
        <v>11.802944418858305</v>
      </c>
      <c r="P381" s="250">
        <v>1999488.1359899999</v>
      </c>
    </row>
    <row r="382" spans="6:16">
      <c r="F382" s="240"/>
      <c r="G382" s="235"/>
      <c r="H382" s="236" t="s">
        <v>555</v>
      </c>
      <c r="I382" s="239" t="s">
        <v>519</v>
      </c>
      <c r="J382" s="228" t="s">
        <v>536</v>
      </c>
      <c r="K382" s="229">
        <v>6.8</v>
      </c>
      <c r="L382" s="230">
        <v>6.8</v>
      </c>
      <c r="N382" s="248" t="s">
        <v>938</v>
      </c>
      <c r="O382" s="253">
        <v>11.94308457431773</v>
      </c>
      <c r="P382" s="250">
        <v>1680840.4613500002</v>
      </c>
    </row>
    <row r="383" spans="6:16">
      <c r="F383" s="240"/>
      <c r="G383" s="235" t="s">
        <v>526</v>
      </c>
      <c r="H383" s="236" t="s">
        <v>557</v>
      </c>
      <c r="I383" s="239" t="s">
        <v>519</v>
      </c>
      <c r="J383" s="228" t="s">
        <v>538</v>
      </c>
      <c r="K383" s="229">
        <v>6.72</v>
      </c>
      <c r="L383" s="230">
        <v>7.11</v>
      </c>
      <c r="N383" s="248" t="s">
        <v>939</v>
      </c>
      <c r="O383" s="253">
        <v>11.786817269040974</v>
      </c>
      <c r="P383" s="250">
        <v>1988790.7539599999</v>
      </c>
    </row>
    <row r="384" spans="6:16">
      <c r="F384" s="240"/>
      <c r="G384" s="235"/>
      <c r="H384" s="236" t="s">
        <v>549</v>
      </c>
      <c r="I384" s="239" t="s">
        <v>519</v>
      </c>
      <c r="J384" s="228" t="s">
        <v>539</v>
      </c>
      <c r="K384" s="229">
        <v>6.65</v>
      </c>
      <c r="L384" s="230">
        <v>6.97</v>
      </c>
      <c r="N384" s="248" t="s">
        <v>940</v>
      </c>
      <c r="O384" s="249">
        <v>11.89128532543551</v>
      </c>
      <c r="P384" s="256">
        <v>2043834.0918400001</v>
      </c>
    </row>
    <row r="385" spans="6:16">
      <c r="F385" s="240"/>
      <c r="G385" s="235"/>
      <c r="H385" s="236" t="s">
        <v>550</v>
      </c>
      <c r="I385" s="239" t="s">
        <v>519</v>
      </c>
      <c r="J385" s="228" t="s">
        <v>541</v>
      </c>
      <c r="K385" s="229">
        <v>6.68</v>
      </c>
      <c r="L385" s="230">
        <v>6.65</v>
      </c>
      <c r="N385" s="248" t="s">
        <v>941</v>
      </c>
      <c r="O385" s="249">
        <v>12.176361601654245</v>
      </c>
      <c r="P385" s="256">
        <v>2005221.5481</v>
      </c>
    </row>
    <row r="386" spans="6:16">
      <c r="F386" s="240"/>
      <c r="G386" s="235"/>
      <c r="H386" s="236" t="s">
        <v>551</v>
      </c>
      <c r="I386" s="239" t="s">
        <v>519</v>
      </c>
      <c r="J386" s="228" t="s">
        <v>542</v>
      </c>
      <c r="K386" s="229">
        <v>6.48</v>
      </c>
      <c r="L386" s="230">
        <v>6.88</v>
      </c>
      <c r="N386" s="248" t="s">
        <v>942</v>
      </c>
      <c r="O386" s="249">
        <v>11.987726371515237</v>
      </c>
      <c r="P386" s="256">
        <v>1684809.0502799996</v>
      </c>
    </row>
    <row r="387" spans="6:16">
      <c r="F387" s="240"/>
      <c r="G387" s="235" t="s">
        <v>535</v>
      </c>
      <c r="H387" s="236" t="s">
        <v>552</v>
      </c>
      <c r="I387" s="239" t="s">
        <v>519</v>
      </c>
      <c r="J387" s="228" t="s">
        <v>538</v>
      </c>
      <c r="K387" s="229">
        <v>6.54</v>
      </c>
      <c r="L387" s="230">
        <v>6.89</v>
      </c>
      <c r="N387" s="248" t="s">
        <v>943</v>
      </c>
      <c r="O387" s="249">
        <v>12.00192768734053</v>
      </c>
      <c r="P387" s="256">
        <v>1774231.5252999999</v>
      </c>
    </row>
    <row r="388" spans="6:16">
      <c r="F388" s="240"/>
      <c r="G388" s="235"/>
      <c r="H388" s="236" t="s">
        <v>549</v>
      </c>
      <c r="I388" s="239" t="s">
        <v>519</v>
      </c>
      <c r="J388" s="228" t="s">
        <v>539</v>
      </c>
      <c r="K388" s="229">
        <v>6.63</v>
      </c>
      <c r="L388" s="230">
        <v>6.83</v>
      </c>
      <c r="N388" s="248" t="s">
        <v>944</v>
      </c>
      <c r="O388" s="249">
        <v>11.611378648894293</v>
      </c>
      <c r="P388" s="256">
        <v>1695782.5713299999</v>
      </c>
    </row>
    <row r="389" spans="6:16">
      <c r="F389" s="240"/>
      <c r="G389" s="235"/>
      <c r="H389" s="236" t="s">
        <v>550</v>
      </c>
      <c r="I389" s="239" t="s">
        <v>519</v>
      </c>
      <c r="J389" s="228" t="s">
        <v>541</v>
      </c>
      <c r="K389" s="229">
        <v>6.49</v>
      </c>
      <c r="L389" s="230">
        <v>7.03</v>
      </c>
      <c r="N389" s="248" t="s">
        <v>945</v>
      </c>
      <c r="O389" s="249">
        <v>11.957201084649943</v>
      </c>
      <c r="P389" s="256">
        <v>2367477.3733999995</v>
      </c>
    </row>
    <row r="390" spans="6:16">
      <c r="F390" s="240"/>
      <c r="G390" s="235"/>
      <c r="H390" s="236" t="s">
        <v>551</v>
      </c>
      <c r="I390" s="239" t="s">
        <v>519</v>
      </c>
      <c r="J390" s="228" t="s">
        <v>542</v>
      </c>
      <c r="K390" s="229">
        <v>6.42</v>
      </c>
      <c r="L390" s="230">
        <v>6.99</v>
      </c>
      <c r="N390" s="248" t="s">
        <v>946</v>
      </c>
      <c r="O390" s="249">
        <v>10.840753806756972</v>
      </c>
      <c r="P390" s="256">
        <v>2175324.2038099999</v>
      </c>
    </row>
    <row r="391" spans="6:16">
      <c r="F391" s="240"/>
      <c r="G391" s="235" t="s">
        <v>537</v>
      </c>
      <c r="H391" s="236" t="s">
        <v>552</v>
      </c>
      <c r="I391" s="239" t="s">
        <v>519</v>
      </c>
      <c r="J391" s="228" t="s">
        <v>543</v>
      </c>
      <c r="K391" s="229">
        <v>6.47</v>
      </c>
      <c r="L391" s="230">
        <v>6.83</v>
      </c>
      <c r="N391" s="248" t="s">
        <v>947</v>
      </c>
      <c r="O391" s="249">
        <v>11.512202668019174</v>
      </c>
      <c r="P391" s="256">
        <v>1170527.7058699999</v>
      </c>
    </row>
    <row r="392" spans="6:16">
      <c r="F392" s="240"/>
      <c r="G392" s="235"/>
      <c r="H392" s="236" t="s">
        <v>545</v>
      </c>
      <c r="I392" s="239" t="s">
        <v>519</v>
      </c>
      <c r="J392" s="228" t="s">
        <v>546</v>
      </c>
      <c r="K392" s="229">
        <v>6.52</v>
      </c>
      <c r="L392" s="230">
        <v>6.99</v>
      </c>
      <c r="N392" s="248" t="s">
        <v>948</v>
      </c>
      <c r="O392" s="249">
        <v>10.736002036863114</v>
      </c>
      <c r="P392" s="256">
        <v>2318307.8584899995</v>
      </c>
    </row>
    <row r="393" spans="6:16">
      <c r="F393" s="240"/>
      <c r="G393" s="235"/>
      <c r="H393" s="236" t="s">
        <v>520</v>
      </c>
      <c r="I393" s="239" t="s">
        <v>519</v>
      </c>
      <c r="J393" s="228" t="s">
        <v>547</v>
      </c>
      <c r="K393" s="229">
        <v>6.55</v>
      </c>
      <c r="L393" s="230">
        <v>6.55</v>
      </c>
      <c r="N393" s="248" t="s">
        <v>949</v>
      </c>
      <c r="O393" s="249">
        <v>11.222660660958155</v>
      </c>
      <c r="P393" s="256">
        <v>2798629.0338100004</v>
      </c>
    </row>
    <row r="394" spans="6:16">
      <c r="F394" s="240"/>
      <c r="G394" s="235"/>
      <c r="H394" s="236" t="s">
        <v>522</v>
      </c>
      <c r="I394" s="239" t="s">
        <v>519</v>
      </c>
      <c r="J394" s="228" t="s">
        <v>555</v>
      </c>
      <c r="K394" s="229">
        <v>6.53</v>
      </c>
      <c r="L394" s="230">
        <v>7</v>
      </c>
      <c r="N394" s="248" t="s">
        <v>950</v>
      </c>
      <c r="O394" s="249">
        <v>10.207239511191307</v>
      </c>
      <c r="P394" s="256">
        <v>2183596.2529099998</v>
      </c>
    </row>
    <row r="395" spans="6:16">
      <c r="F395" s="240"/>
      <c r="G395" s="235"/>
      <c r="H395" s="236" t="s">
        <v>523</v>
      </c>
      <c r="I395" s="239" t="s">
        <v>519</v>
      </c>
      <c r="J395" s="228" t="s">
        <v>557</v>
      </c>
      <c r="K395" s="229">
        <v>6.48</v>
      </c>
      <c r="L395" s="230">
        <v>6.85</v>
      </c>
      <c r="N395" s="248" t="s">
        <v>951</v>
      </c>
      <c r="O395" s="249">
        <v>11.766648054857523</v>
      </c>
      <c r="P395" s="256">
        <v>1891578.78287</v>
      </c>
    </row>
    <row r="396" spans="6:16">
      <c r="F396" s="240"/>
      <c r="G396" s="235" t="s">
        <v>544</v>
      </c>
      <c r="H396" s="236" t="s">
        <v>527</v>
      </c>
      <c r="I396" s="239" t="s">
        <v>519</v>
      </c>
      <c r="J396" s="228" t="s">
        <v>528</v>
      </c>
      <c r="K396" s="229">
        <v>6.43</v>
      </c>
      <c r="L396" s="230">
        <v>6.89</v>
      </c>
      <c r="N396" s="248" t="s">
        <v>952</v>
      </c>
      <c r="O396" s="249">
        <v>11.426314875218468</v>
      </c>
      <c r="P396" s="256">
        <v>2185695.5742899999</v>
      </c>
    </row>
    <row r="397" spans="6:16">
      <c r="F397" s="240"/>
      <c r="G397" s="235"/>
      <c r="H397" s="236" t="s">
        <v>529</v>
      </c>
      <c r="I397" s="239" t="s">
        <v>519</v>
      </c>
      <c r="J397" s="228" t="s">
        <v>530</v>
      </c>
      <c r="K397" s="229">
        <v>6.46</v>
      </c>
      <c r="L397" s="230">
        <v>6.49</v>
      </c>
      <c r="N397" s="248" t="s">
        <v>953</v>
      </c>
      <c r="O397" s="249">
        <v>10.99452092789695</v>
      </c>
      <c r="P397" s="256">
        <v>2664082.9147899998</v>
      </c>
    </row>
    <row r="398" spans="6:16">
      <c r="F398" s="240"/>
      <c r="G398" s="235"/>
      <c r="H398" s="236" t="s">
        <v>531</v>
      </c>
      <c r="I398" s="239" t="s">
        <v>519</v>
      </c>
      <c r="J398" s="228" t="s">
        <v>532</v>
      </c>
      <c r="K398" s="229">
        <v>6.43</v>
      </c>
      <c r="L398" s="230">
        <v>6.18</v>
      </c>
      <c r="N398" s="248" t="s">
        <v>954</v>
      </c>
      <c r="O398" s="249">
        <v>10.827791607933436</v>
      </c>
      <c r="P398" s="256">
        <v>2693709.4759800001</v>
      </c>
    </row>
    <row r="399" spans="6:16">
      <c r="F399" s="240"/>
      <c r="G399" s="235"/>
      <c r="H399" s="236" t="s">
        <v>533</v>
      </c>
      <c r="I399" s="239" t="s">
        <v>519</v>
      </c>
      <c r="J399" s="228" t="s">
        <v>534</v>
      </c>
      <c r="K399" s="229">
        <v>6.49</v>
      </c>
      <c r="L399" s="230">
        <v>5.81</v>
      </c>
      <c r="N399" s="248" t="s">
        <v>955</v>
      </c>
      <c r="O399" s="249">
        <v>10.705168693721728</v>
      </c>
      <c r="P399" s="256">
        <v>2553710.0255200001</v>
      </c>
    </row>
    <row r="400" spans="6:16">
      <c r="F400" s="240"/>
      <c r="G400" s="235" t="s">
        <v>548</v>
      </c>
      <c r="H400" s="236" t="s">
        <v>536</v>
      </c>
      <c r="I400" s="239" t="s">
        <v>519</v>
      </c>
      <c r="J400" s="228" t="s">
        <v>518</v>
      </c>
      <c r="K400" s="229">
        <v>6.49</v>
      </c>
      <c r="L400" s="230">
        <v>6.53</v>
      </c>
      <c r="N400" s="248" t="s">
        <v>956</v>
      </c>
      <c r="O400" s="249">
        <v>10.925548991866879</v>
      </c>
      <c r="P400" s="256">
        <v>2820286.466</v>
      </c>
    </row>
    <row r="401" spans="6:16">
      <c r="F401" s="240"/>
      <c r="G401" s="235"/>
      <c r="H401" s="236" t="s">
        <v>538</v>
      </c>
      <c r="I401" s="239" t="s">
        <v>519</v>
      </c>
      <c r="J401" s="228" t="s">
        <v>521</v>
      </c>
      <c r="K401" s="229">
        <v>6.63</v>
      </c>
      <c r="L401" s="230">
        <v>6.11</v>
      </c>
      <c r="N401" s="248" t="s">
        <v>957</v>
      </c>
      <c r="O401" s="249">
        <v>10.732102889346587</v>
      </c>
      <c r="P401" s="256">
        <v>2644642.7192599997</v>
      </c>
    </row>
    <row r="402" spans="6:16">
      <c r="F402" s="240"/>
      <c r="G402" s="235"/>
      <c r="H402" s="236" t="s">
        <v>539</v>
      </c>
      <c r="I402" s="239" t="s">
        <v>519</v>
      </c>
      <c r="J402" s="228" t="s">
        <v>540</v>
      </c>
      <c r="K402" s="229">
        <v>6.72</v>
      </c>
      <c r="L402" s="230">
        <v>6.15</v>
      </c>
      <c r="N402" s="248" t="s">
        <v>958</v>
      </c>
      <c r="O402" s="249">
        <v>11.37697490285643</v>
      </c>
      <c r="P402" s="256">
        <v>3067984.3071099999</v>
      </c>
    </row>
    <row r="403" spans="6:16">
      <c r="F403" s="240"/>
      <c r="G403" s="235"/>
      <c r="H403" s="236" t="s">
        <v>541</v>
      </c>
      <c r="I403" s="239" t="s">
        <v>519</v>
      </c>
      <c r="J403" s="228" t="s">
        <v>524</v>
      </c>
      <c r="K403" s="229">
        <v>6.6</v>
      </c>
      <c r="L403" s="230">
        <v>5.66</v>
      </c>
      <c r="N403" s="248" t="s">
        <v>959</v>
      </c>
      <c r="O403" s="249">
        <v>10.337479955119473</v>
      </c>
      <c r="P403" s="256">
        <v>2397575.8193100006</v>
      </c>
    </row>
    <row r="404" spans="6:16">
      <c r="F404" s="240"/>
      <c r="G404" s="235" t="s">
        <v>553</v>
      </c>
      <c r="H404" s="236" t="s">
        <v>542</v>
      </c>
      <c r="I404" s="239" t="s">
        <v>519</v>
      </c>
      <c r="J404" s="228" t="s">
        <v>543</v>
      </c>
      <c r="K404" s="229">
        <v>6.58</v>
      </c>
      <c r="L404" s="230">
        <v>6.07</v>
      </c>
      <c r="N404" s="248" t="s">
        <v>960</v>
      </c>
      <c r="O404" s="249">
        <v>11.053125727017216</v>
      </c>
      <c r="P404" s="256">
        <v>2546650.5468599997</v>
      </c>
    </row>
    <row r="405" spans="6:16">
      <c r="F405" s="240"/>
      <c r="G405" s="235"/>
      <c r="H405" s="236" t="s">
        <v>545</v>
      </c>
      <c r="I405" s="239" t="s">
        <v>519</v>
      </c>
      <c r="J405" s="228" t="s">
        <v>546</v>
      </c>
      <c r="K405" s="229">
        <v>6.6</v>
      </c>
      <c r="L405" s="230">
        <v>5.91</v>
      </c>
      <c r="N405" s="248" t="s">
        <v>961</v>
      </c>
      <c r="O405" s="249">
        <v>11.397540281660179</v>
      </c>
      <c r="P405" s="256">
        <v>2249064.4992</v>
      </c>
    </row>
    <row r="406" spans="6:16">
      <c r="F406" s="240"/>
      <c r="G406" s="235"/>
      <c r="H406" s="236" t="s">
        <v>520</v>
      </c>
      <c r="I406" s="239" t="s">
        <v>519</v>
      </c>
      <c r="J406" s="228" t="s">
        <v>547</v>
      </c>
      <c r="K406" s="229">
        <v>6.5</v>
      </c>
      <c r="L406" s="230">
        <v>6.19</v>
      </c>
      <c r="N406" s="248" t="s">
        <v>962</v>
      </c>
      <c r="O406" s="249">
        <v>11.037675529985339</v>
      </c>
      <c r="P406" s="256">
        <v>3078444.9892800003</v>
      </c>
    </row>
    <row r="407" spans="6:16">
      <c r="F407" s="240"/>
      <c r="G407" s="235"/>
      <c r="H407" s="236" t="s">
        <v>522</v>
      </c>
      <c r="I407" s="239" t="s">
        <v>519</v>
      </c>
      <c r="J407" s="228" t="s">
        <v>555</v>
      </c>
      <c r="K407" s="229">
        <v>6.56</v>
      </c>
      <c r="L407" s="230">
        <v>6.68</v>
      </c>
      <c r="N407" s="248" t="s">
        <v>963</v>
      </c>
      <c r="O407" s="249">
        <v>11.308109591474127</v>
      </c>
      <c r="P407" s="256">
        <v>2827788.2565600001</v>
      </c>
    </row>
    <row r="408" spans="6:16">
      <c r="F408" s="240"/>
      <c r="G408" s="235"/>
      <c r="H408" s="236" t="s">
        <v>523</v>
      </c>
      <c r="I408" s="239" t="s">
        <v>519</v>
      </c>
      <c r="J408" s="228" t="s">
        <v>557</v>
      </c>
      <c r="K408" s="229">
        <v>6.58</v>
      </c>
      <c r="L408" s="230">
        <v>6.54</v>
      </c>
      <c r="N408" s="248" t="s">
        <v>964</v>
      </c>
      <c r="O408" s="249">
        <v>11.316993474302684</v>
      </c>
      <c r="P408" s="256">
        <v>2159775.7074099998</v>
      </c>
    </row>
    <row r="409" spans="6:16">
      <c r="F409" s="240"/>
      <c r="G409" s="235" t="s">
        <v>554</v>
      </c>
      <c r="H409" s="236" t="s">
        <v>525</v>
      </c>
      <c r="I409" s="239" t="s">
        <v>519</v>
      </c>
      <c r="J409" s="228" t="s">
        <v>549</v>
      </c>
      <c r="K409" s="229">
        <v>6.96</v>
      </c>
      <c r="L409" s="230">
        <v>6.58</v>
      </c>
      <c r="N409" s="248" t="s">
        <v>965</v>
      </c>
      <c r="O409" s="249">
        <v>11.357754424264574</v>
      </c>
      <c r="P409" s="256">
        <v>2865667.9964600001</v>
      </c>
    </row>
    <row r="410" spans="6:16">
      <c r="F410" s="240"/>
      <c r="G410" s="235"/>
      <c r="H410" s="236" t="s">
        <v>528</v>
      </c>
      <c r="I410" s="239" t="s">
        <v>519</v>
      </c>
      <c r="J410" s="228" t="s">
        <v>550</v>
      </c>
      <c r="K410" s="229">
        <v>6.73</v>
      </c>
      <c r="L410" s="230">
        <v>6.63</v>
      </c>
      <c r="N410" s="248" t="s">
        <v>966</v>
      </c>
      <c r="O410" s="249">
        <v>11.578197399945159</v>
      </c>
      <c r="P410" s="256">
        <v>2044011.7093800001</v>
      </c>
    </row>
    <row r="411" spans="6:16">
      <c r="F411" s="240"/>
      <c r="G411" s="235"/>
      <c r="H411" s="236" t="s">
        <v>530</v>
      </c>
      <c r="I411" s="239" t="s">
        <v>519</v>
      </c>
      <c r="J411" s="228" t="s">
        <v>551</v>
      </c>
      <c r="K411" s="229">
        <v>6.83</v>
      </c>
      <c r="L411" s="230">
        <v>6.92</v>
      </c>
      <c r="N411" s="248" t="s">
        <v>967</v>
      </c>
      <c r="O411" s="249">
        <v>12.447468552971195</v>
      </c>
      <c r="P411" s="256">
        <v>2536353.1728099994</v>
      </c>
    </row>
    <row r="412" spans="6:16">
      <c r="F412" s="240"/>
      <c r="G412" s="235"/>
      <c r="H412" s="236" t="s">
        <v>532</v>
      </c>
      <c r="I412" s="239" t="s">
        <v>519</v>
      </c>
      <c r="J412" s="228" t="s">
        <v>552</v>
      </c>
      <c r="K412" s="229">
        <v>6.8</v>
      </c>
      <c r="L412" s="230">
        <v>7.15</v>
      </c>
      <c r="N412" s="248" t="s">
        <v>968</v>
      </c>
      <c r="O412" s="249">
        <v>11.588288252633273</v>
      </c>
      <c r="P412" s="256">
        <v>2364832.8937700004</v>
      </c>
    </row>
    <row r="413" spans="6:16">
      <c r="F413" s="240"/>
      <c r="G413" s="235" t="s">
        <v>556</v>
      </c>
      <c r="H413" s="236" t="s">
        <v>534</v>
      </c>
      <c r="I413" s="239" t="s">
        <v>519</v>
      </c>
      <c r="J413" s="228" t="s">
        <v>545</v>
      </c>
      <c r="K413" s="229">
        <v>6.8</v>
      </c>
      <c r="L413" s="230">
        <v>7.45</v>
      </c>
      <c r="N413" s="248" t="s">
        <v>969</v>
      </c>
      <c r="O413" s="249">
        <v>11.756262967459207</v>
      </c>
      <c r="P413" s="256">
        <v>2519253.3606400001</v>
      </c>
    </row>
    <row r="414" spans="6:16">
      <c r="F414" s="240"/>
      <c r="G414" s="235"/>
      <c r="H414" s="236" t="s">
        <v>518</v>
      </c>
      <c r="I414" s="239" t="s">
        <v>519</v>
      </c>
      <c r="J414" s="228" t="s">
        <v>520</v>
      </c>
      <c r="K414" s="229">
        <v>6.72</v>
      </c>
      <c r="L414" s="230">
        <v>7.21</v>
      </c>
      <c r="N414" s="248" t="s">
        <v>970</v>
      </c>
      <c r="O414" s="249">
        <v>11.805641438896593</v>
      </c>
      <c r="P414" s="256">
        <v>2378027.9395699995</v>
      </c>
    </row>
    <row r="415" spans="6:16">
      <c r="F415" s="240"/>
      <c r="G415" s="235"/>
      <c r="H415" s="236" t="s">
        <v>521</v>
      </c>
      <c r="I415" s="239" t="s">
        <v>519</v>
      </c>
      <c r="J415" s="228" t="s">
        <v>522</v>
      </c>
      <c r="K415" s="229">
        <v>6.85</v>
      </c>
      <c r="L415" s="230">
        <v>6.96</v>
      </c>
      <c r="N415" s="248" t="s">
        <v>971</v>
      </c>
      <c r="O415" s="249">
        <v>11.948251843545609</v>
      </c>
      <c r="P415" s="256">
        <v>3294846.5771400002</v>
      </c>
    </row>
    <row r="416" spans="6:16">
      <c r="F416" s="240"/>
      <c r="G416" s="235"/>
      <c r="H416" s="236" t="s">
        <v>540</v>
      </c>
      <c r="I416" s="239" t="s">
        <v>519</v>
      </c>
      <c r="J416" s="228" t="s">
        <v>523</v>
      </c>
      <c r="K416" s="229">
        <v>6.87</v>
      </c>
      <c r="L416" s="230">
        <v>7.31</v>
      </c>
      <c r="N416" s="248" t="s">
        <v>972</v>
      </c>
      <c r="O416" s="249">
        <v>11.074333916306111</v>
      </c>
      <c r="P416" s="256">
        <v>2839592.6519200001</v>
      </c>
    </row>
    <row r="417" spans="6:16">
      <c r="F417" s="240"/>
      <c r="G417" s="235" t="s">
        <v>558</v>
      </c>
      <c r="H417" s="236" t="s">
        <v>524</v>
      </c>
      <c r="I417" s="239" t="s">
        <v>519</v>
      </c>
      <c r="J417" s="228" t="s">
        <v>527</v>
      </c>
      <c r="K417" s="229">
        <v>7.04</v>
      </c>
      <c r="L417" s="230">
        <v>7.36</v>
      </c>
      <c r="N417" s="248" t="s">
        <v>973</v>
      </c>
      <c r="O417" s="249">
        <v>11.347520870797648</v>
      </c>
      <c r="P417" s="256">
        <v>2883982.4981099996</v>
      </c>
    </row>
    <row r="418" spans="6:16">
      <c r="F418" s="240"/>
      <c r="G418" s="235"/>
      <c r="H418" s="236" t="s">
        <v>543</v>
      </c>
      <c r="I418" s="239" t="s">
        <v>519</v>
      </c>
      <c r="J418" s="228" t="s">
        <v>529</v>
      </c>
      <c r="K418" s="229">
        <v>6.83</v>
      </c>
      <c r="L418" s="230">
        <v>7.65</v>
      </c>
      <c r="N418" s="248" t="s">
        <v>974</v>
      </c>
      <c r="O418" s="249">
        <v>11.76350538467551</v>
      </c>
      <c r="P418" s="256">
        <v>2077984.75951</v>
      </c>
    </row>
    <row r="419" spans="6:16">
      <c r="F419" s="240"/>
      <c r="G419" s="235"/>
      <c r="H419" s="236" t="s">
        <v>546</v>
      </c>
      <c r="I419" s="239" t="s">
        <v>519</v>
      </c>
      <c r="J419" s="228" t="s">
        <v>531</v>
      </c>
      <c r="K419" s="229">
        <v>6.85</v>
      </c>
      <c r="L419" s="230">
        <v>6.85</v>
      </c>
      <c r="N419" s="248" t="s">
        <v>975</v>
      </c>
      <c r="O419" s="249">
        <v>11.723477098725791</v>
      </c>
      <c r="P419" s="256">
        <v>2677572.4814400007</v>
      </c>
    </row>
    <row r="420" spans="6:16">
      <c r="F420" s="240"/>
      <c r="G420" s="235"/>
      <c r="H420" s="236" t="s">
        <v>547</v>
      </c>
      <c r="I420" s="239" t="s">
        <v>519</v>
      </c>
      <c r="J420" s="228" t="s">
        <v>533</v>
      </c>
      <c r="K420" s="229">
        <v>7</v>
      </c>
      <c r="L420" s="230">
        <v>5.55</v>
      </c>
      <c r="N420" s="248" t="s">
        <v>976</v>
      </c>
      <c r="O420" s="249">
        <v>11.956534455160137</v>
      </c>
      <c r="P420" s="256">
        <v>2954400.0646100002</v>
      </c>
    </row>
    <row r="421" spans="6:16">
      <c r="F421" s="240"/>
      <c r="G421" s="235"/>
      <c r="H421" s="236" t="s">
        <v>555</v>
      </c>
      <c r="I421" s="239" t="s">
        <v>519</v>
      </c>
      <c r="J421" s="228" t="s">
        <v>536</v>
      </c>
      <c r="K421" s="229">
        <v>7</v>
      </c>
      <c r="L421" s="230">
        <v>5.77</v>
      </c>
      <c r="N421" s="248" t="s">
        <v>977</v>
      </c>
      <c r="O421" s="249">
        <v>11.879246580246013</v>
      </c>
      <c r="P421" s="256">
        <v>2368487.4077699999</v>
      </c>
    </row>
    <row r="422" spans="6:16">
      <c r="F422" s="240"/>
      <c r="G422" s="235" t="s">
        <v>559</v>
      </c>
      <c r="H422" s="236" t="s">
        <v>557</v>
      </c>
      <c r="I422" s="239" t="s">
        <v>519</v>
      </c>
      <c r="J422" s="228" t="s">
        <v>538</v>
      </c>
      <c r="K422" s="229">
        <v>7.07</v>
      </c>
      <c r="L422" s="230">
        <v>5.95</v>
      </c>
      <c r="N422" s="248" t="s">
        <v>978</v>
      </c>
      <c r="O422" s="249">
        <v>11.800719942036341</v>
      </c>
      <c r="P422" s="256">
        <v>2428744.1228299998</v>
      </c>
    </row>
    <row r="423" spans="6:16">
      <c r="F423" s="240"/>
      <c r="G423" s="235"/>
      <c r="H423" s="236" t="s">
        <v>549</v>
      </c>
      <c r="I423" s="239" t="s">
        <v>519</v>
      </c>
      <c r="J423" s="228" t="s">
        <v>539</v>
      </c>
      <c r="K423" s="229">
        <v>7.46</v>
      </c>
      <c r="L423" s="230">
        <v>6.41</v>
      </c>
      <c r="N423" s="248" t="s">
        <v>979</v>
      </c>
      <c r="O423" s="249">
        <v>11.70967705678115</v>
      </c>
      <c r="P423" s="256">
        <v>3112737.2938200003</v>
      </c>
    </row>
    <row r="424" spans="6:16">
      <c r="F424" s="240"/>
      <c r="G424" s="235"/>
      <c r="H424" s="236" t="s">
        <v>550</v>
      </c>
      <c r="I424" s="239" t="s">
        <v>519</v>
      </c>
      <c r="J424" s="228" t="s">
        <v>541</v>
      </c>
      <c r="K424" s="229">
        <v>7.25</v>
      </c>
      <c r="L424" s="230">
        <v>6.36</v>
      </c>
      <c r="N424" s="248" t="s">
        <v>980</v>
      </c>
      <c r="O424" s="249">
        <v>12.275446939187818</v>
      </c>
      <c r="P424" s="256">
        <v>3133394.2154299999</v>
      </c>
    </row>
    <row r="425" spans="6:16">
      <c r="F425" s="240"/>
      <c r="G425" s="235"/>
      <c r="H425" s="236" t="s">
        <v>551</v>
      </c>
      <c r="I425" s="239" t="s">
        <v>519</v>
      </c>
      <c r="J425" s="228" t="s">
        <v>542</v>
      </c>
      <c r="K425" s="229">
        <v>7.23</v>
      </c>
      <c r="L425" s="230">
        <v>6.86</v>
      </c>
      <c r="N425" s="248" t="s">
        <v>981</v>
      </c>
      <c r="O425" s="249">
        <v>11.42660770440647</v>
      </c>
      <c r="P425" s="256">
        <v>2452337.6524700001</v>
      </c>
    </row>
    <row r="426" spans="6:16">
      <c r="F426" s="240"/>
      <c r="G426" s="235" t="s">
        <v>560</v>
      </c>
      <c r="H426" s="236" t="s">
        <v>552</v>
      </c>
      <c r="I426" s="239" t="s">
        <v>519</v>
      </c>
      <c r="J426" s="228" t="s">
        <v>545</v>
      </c>
      <c r="K426" s="229">
        <v>7</v>
      </c>
      <c r="L426" s="230">
        <v>7.55</v>
      </c>
      <c r="N426" s="248" t="s">
        <v>982</v>
      </c>
      <c r="O426" s="249">
        <v>11.876389936499331</v>
      </c>
      <c r="P426" s="256">
        <v>3273484.16445</v>
      </c>
    </row>
    <row r="427" spans="6:16">
      <c r="F427" s="240"/>
      <c r="G427" s="235"/>
      <c r="H427" s="236" t="s">
        <v>518</v>
      </c>
      <c r="I427" s="239" t="s">
        <v>519</v>
      </c>
      <c r="J427" s="228" t="s">
        <v>520</v>
      </c>
      <c r="K427" s="229">
        <v>7.18</v>
      </c>
      <c r="L427" s="230">
        <v>7.3</v>
      </c>
      <c r="N427" s="248" t="s">
        <v>983</v>
      </c>
      <c r="O427" s="249">
        <v>12.358275726226546</v>
      </c>
      <c r="P427" s="256">
        <v>3491730.9542299993</v>
      </c>
    </row>
    <row r="428" spans="6:16" ht="15.75" thickBot="1">
      <c r="F428" s="240"/>
      <c r="G428" s="235"/>
      <c r="H428" s="236" t="s">
        <v>521</v>
      </c>
      <c r="I428" s="239" t="s">
        <v>519</v>
      </c>
      <c r="J428" s="228" t="s">
        <v>522</v>
      </c>
      <c r="K428" s="229">
        <v>7.14</v>
      </c>
      <c r="L428" s="230">
        <v>7.08</v>
      </c>
      <c r="N428" s="248" t="s">
        <v>984</v>
      </c>
      <c r="O428" s="249">
        <v>12.646456730831121</v>
      </c>
      <c r="P428" s="256">
        <v>2820815.8315699999</v>
      </c>
    </row>
    <row r="429" spans="6:16" ht="16.5" thickBot="1">
      <c r="F429" s="240"/>
      <c r="G429" s="235"/>
      <c r="H429" s="236" t="s">
        <v>540</v>
      </c>
      <c r="I429" s="239" t="s">
        <v>519</v>
      </c>
      <c r="J429" s="228" t="s">
        <v>523</v>
      </c>
      <c r="K429" s="229">
        <v>7.18</v>
      </c>
      <c r="L429" s="230">
        <v>7.46</v>
      </c>
      <c r="N429" s="251" t="s">
        <v>561</v>
      </c>
      <c r="O429" s="252">
        <f>AVERAGE(O377:O428)</f>
        <v>11.521676056989435</v>
      </c>
      <c r="P429" s="256"/>
    </row>
    <row r="430" spans="6:16" ht="15.75" thickBot="1">
      <c r="F430" s="240"/>
      <c r="G430" s="235"/>
      <c r="H430" s="236" t="s">
        <v>524</v>
      </c>
      <c r="I430" s="239" t="s">
        <v>519</v>
      </c>
      <c r="J430" s="228" t="s">
        <v>525</v>
      </c>
      <c r="K430" s="229">
        <v>7.1</v>
      </c>
      <c r="L430" s="230">
        <v>7.83</v>
      </c>
      <c r="N430" s="248" t="s">
        <v>985</v>
      </c>
      <c r="O430" s="249">
        <v>11.600730653446545</v>
      </c>
      <c r="P430" s="256">
        <v>1619650.6331399998</v>
      </c>
    </row>
    <row r="431" spans="6:16" ht="15.75" thickBot="1">
      <c r="F431" s="640" t="s">
        <v>561</v>
      </c>
      <c r="G431" s="641"/>
      <c r="H431" s="641"/>
      <c r="I431" s="641"/>
      <c r="J431" s="641"/>
      <c r="K431" s="642"/>
      <c r="L431" s="234">
        <f>AVERAGE(L378:L430)</f>
        <v>6.769622641509434</v>
      </c>
      <c r="N431" s="248" t="s">
        <v>986</v>
      </c>
      <c r="O431" s="249">
        <v>11.471606241367837</v>
      </c>
      <c r="P431" s="256">
        <v>2210868.2837800002</v>
      </c>
    </row>
    <row r="432" spans="6:16">
      <c r="F432" s="240">
        <v>2007</v>
      </c>
      <c r="G432" s="235" t="s">
        <v>517</v>
      </c>
      <c r="H432" s="236" t="s">
        <v>527</v>
      </c>
      <c r="I432" s="239" t="s">
        <v>519</v>
      </c>
      <c r="J432" s="228" t="s">
        <v>528</v>
      </c>
      <c r="K432" s="229">
        <v>7.27</v>
      </c>
      <c r="L432" s="230">
        <v>7.53</v>
      </c>
      <c r="N432" s="248" t="s">
        <v>987</v>
      </c>
      <c r="O432" s="249">
        <v>11.926443350882513</v>
      </c>
      <c r="P432" s="256">
        <v>2417235.45444</v>
      </c>
    </row>
    <row r="433" spans="6:16">
      <c r="F433" s="240"/>
      <c r="G433" s="235"/>
      <c r="H433" s="236" t="s">
        <v>529</v>
      </c>
      <c r="I433" s="239" t="s">
        <v>519</v>
      </c>
      <c r="J433" s="228" t="s">
        <v>530</v>
      </c>
      <c r="K433" s="229">
        <v>6.87</v>
      </c>
      <c r="L433" s="230">
        <v>7.85</v>
      </c>
      <c r="N433" s="248" t="s">
        <v>988</v>
      </c>
      <c r="O433" s="249">
        <v>12.129736353471257</v>
      </c>
      <c r="P433" s="256">
        <v>2596025.1228299998</v>
      </c>
    </row>
    <row r="434" spans="6:16">
      <c r="F434" s="240"/>
      <c r="G434" s="235"/>
      <c r="H434" s="236" t="s">
        <v>531</v>
      </c>
      <c r="I434" s="239" t="s">
        <v>519</v>
      </c>
      <c r="J434" s="228" t="s">
        <v>532</v>
      </c>
      <c r="K434" s="229">
        <v>7.05</v>
      </c>
      <c r="L434" s="230">
        <v>7.15</v>
      </c>
      <c r="N434" s="248" t="s">
        <v>989</v>
      </c>
      <c r="O434" s="249">
        <v>12.7853870432556</v>
      </c>
      <c r="P434" s="256">
        <v>2532123.1397699998</v>
      </c>
    </row>
    <row r="435" spans="6:16">
      <c r="F435" s="240"/>
      <c r="G435" s="235"/>
      <c r="H435" s="236" t="s">
        <v>533</v>
      </c>
      <c r="I435" s="239" t="s">
        <v>519</v>
      </c>
      <c r="J435" s="228" t="s">
        <v>534</v>
      </c>
      <c r="K435" s="229">
        <v>7.06</v>
      </c>
      <c r="L435" s="230">
        <v>7.49</v>
      </c>
      <c r="N435" s="248" t="s">
        <v>990</v>
      </c>
      <c r="O435" s="249">
        <v>12.643973240847068</v>
      </c>
      <c r="P435" s="256">
        <v>2115337.7470100001</v>
      </c>
    </row>
    <row r="436" spans="6:16">
      <c r="F436" s="240"/>
      <c r="G436" s="235" t="s">
        <v>526</v>
      </c>
      <c r="H436" s="236" t="s">
        <v>536</v>
      </c>
      <c r="I436" s="239" t="s">
        <v>519</v>
      </c>
      <c r="J436" s="228" t="s">
        <v>518</v>
      </c>
      <c r="K436" s="229">
        <v>7.19</v>
      </c>
      <c r="L436" s="230">
        <v>7.43</v>
      </c>
      <c r="N436" s="248" t="s">
        <v>991</v>
      </c>
      <c r="O436" s="249">
        <v>11.908248914075623</v>
      </c>
      <c r="P436" s="256">
        <v>3229607.8596999999</v>
      </c>
    </row>
    <row r="437" spans="6:16">
      <c r="F437" s="240"/>
      <c r="G437" s="235"/>
      <c r="H437" s="236" t="s">
        <v>538</v>
      </c>
      <c r="I437" s="239" t="s">
        <v>519</v>
      </c>
      <c r="J437" s="228" t="s">
        <v>521</v>
      </c>
      <c r="K437" s="229">
        <v>7.29</v>
      </c>
      <c r="L437" s="230">
        <v>7.67</v>
      </c>
      <c r="N437" s="248" t="s">
        <v>992</v>
      </c>
      <c r="O437" s="249">
        <v>12.706336003908268</v>
      </c>
      <c r="P437" s="256">
        <v>2612821.7852500002</v>
      </c>
    </row>
    <row r="438" spans="6:16">
      <c r="F438" s="240"/>
      <c r="G438" s="235"/>
      <c r="H438" s="236" t="s">
        <v>539</v>
      </c>
      <c r="I438" s="239" t="s">
        <v>519</v>
      </c>
      <c r="J438" s="228" t="s">
        <v>540</v>
      </c>
      <c r="K438" s="229">
        <v>7.03</v>
      </c>
      <c r="L438" s="230">
        <v>7.54</v>
      </c>
      <c r="N438" s="248" t="s">
        <v>993</v>
      </c>
      <c r="O438" s="249">
        <v>13.015215702310025</v>
      </c>
      <c r="P438" s="256">
        <v>3048176.1185999997</v>
      </c>
    </row>
    <row r="439" spans="6:16">
      <c r="F439" s="240"/>
      <c r="G439" s="235"/>
      <c r="H439" s="236" t="s">
        <v>541</v>
      </c>
      <c r="I439" s="239" t="s">
        <v>519</v>
      </c>
      <c r="J439" s="228" t="s">
        <v>524</v>
      </c>
      <c r="K439" s="229">
        <v>7.12</v>
      </c>
      <c r="L439" s="230">
        <v>7.74</v>
      </c>
      <c r="N439" s="248" t="s">
        <v>994</v>
      </c>
      <c r="O439" s="249">
        <v>12.899808294269921</v>
      </c>
      <c r="P439" s="256">
        <v>2519244.0750500001</v>
      </c>
    </row>
    <row r="440" spans="6:16">
      <c r="F440" s="240"/>
      <c r="G440" s="235" t="s">
        <v>535</v>
      </c>
      <c r="H440" s="236" t="s">
        <v>542</v>
      </c>
      <c r="I440" s="239" t="s">
        <v>519</v>
      </c>
      <c r="J440" s="228" t="s">
        <v>518</v>
      </c>
      <c r="K440" s="229">
        <v>6.98</v>
      </c>
      <c r="L440" s="230">
        <v>8.1300000000000008</v>
      </c>
      <c r="N440" s="248" t="s">
        <v>995</v>
      </c>
      <c r="O440" s="249">
        <v>12.611749033091627</v>
      </c>
      <c r="P440" s="256">
        <v>3184935.96178</v>
      </c>
    </row>
    <row r="441" spans="6:16">
      <c r="F441" s="240"/>
      <c r="G441" s="235"/>
      <c r="H441" s="236" t="s">
        <v>538</v>
      </c>
      <c r="I441" s="239" t="s">
        <v>519</v>
      </c>
      <c r="J441" s="228" t="s">
        <v>521</v>
      </c>
      <c r="K441" s="229">
        <v>7.19</v>
      </c>
      <c r="L441" s="230">
        <v>7.74</v>
      </c>
      <c r="N441" s="248" t="s">
        <v>996</v>
      </c>
      <c r="O441" s="249">
        <v>12.990262040288663</v>
      </c>
      <c r="P441" s="256">
        <v>2586606.18102</v>
      </c>
    </row>
    <row r="442" spans="6:16">
      <c r="F442" s="240"/>
      <c r="G442" s="235"/>
      <c r="H442" s="236" t="s">
        <v>539</v>
      </c>
      <c r="I442" s="239" t="s">
        <v>519</v>
      </c>
      <c r="J442" s="228" t="s">
        <v>540</v>
      </c>
      <c r="K442" s="229">
        <v>7.28</v>
      </c>
      <c r="L442" s="230">
        <v>7.83</v>
      </c>
      <c r="N442" s="248" t="s">
        <v>997</v>
      </c>
      <c r="O442" s="249">
        <v>13.63951281524999</v>
      </c>
      <c r="P442" s="256">
        <v>3235355.3321100003</v>
      </c>
    </row>
    <row r="443" spans="6:16">
      <c r="F443" s="240"/>
      <c r="G443" s="235"/>
      <c r="H443" s="236" t="s">
        <v>541</v>
      </c>
      <c r="I443" s="239" t="s">
        <v>519</v>
      </c>
      <c r="J443" s="228" t="s">
        <v>524</v>
      </c>
      <c r="K443" s="229">
        <v>7.5</v>
      </c>
      <c r="L443" s="230">
        <v>8.5399999999999991</v>
      </c>
      <c r="N443" s="248" t="s">
        <v>998</v>
      </c>
      <c r="O443" s="249">
        <v>13.098571480770731</v>
      </c>
      <c r="P443" s="256">
        <v>1666952.3758899998</v>
      </c>
    </row>
    <row r="444" spans="6:16">
      <c r="F444" s="240"/>
      <c r="G444" s="235" t="s">
        <v>537</v>
      </c>
      <c r="H444" s="236" t="s">
        <v>542</v>
      </c>
      <c r="I444" s="239" t="s">
        <v>519</v>
      </c>
      <c r="J444" s="228" t="s">
        <v>527</v>
      </c>
      <c r="K444" s="229">
        <v>7.62</v>
      </c>
      <c r="L444" s="230">
        <v>7.68</v>
      </c>
      <c r="N444" s="248" t="s">
        <v>999</v>
      </c>
      <c r="O444" s="249">
        <v>13.016027012736474</v>
      </c>
      <c r="P444" s="256">
        <v>2940341.2908999999</v>
      </c>
    </row>
    <row r="445" spans="6:16">
      <c r="F445" s="240"/>
      <c r="G445" s="235"/>
      <c r="H445" s="236" t="s">
        <v>543</v>
      </c>
      <c r="I445" s="239" t="s">
        <v>519</v>
      </c>
      <c r="J445" s="228" t="s">
        <v>529</v>
      </c>
      <c r="K445" s="229">
        <v>7.45</v>
      </c>
      <c r="L445" s="230">
        <v>8.2200000000000006</v>
      </c>
      <c r="N445" s="248" t="s">
        <v>1000</v>
      </c>
      <c r="O445" s="249">
        <v>13.648854768981112</v>
      </c>
      <c r="P445" s="256">
        <v>2533597.1749299997</v>
      </c>
    </row>
    <row r="446" spans="6:16">
      <c r="F446" s="240"/>
      <c r="G446" s="235"/>
      <c r="H446" s="236" t="s">
        <v>546</v>
      </c>
      <c r="I446" s="239" t="s">
        <v>519</v>
      </c>
      <c r="J446" s="228" t="s">
        <v>531</v>
      </c>
      <c r="K446" s="229">
        <v>7.41</v>
      </c>
      <c r="L446" s="230">
        <v>8.0299999999999994</v>
      </c>
      <c r="N446" s="248" t="s">
        <v>1001</v>
      </c>
      <c r="O446" s="249">
        <v>13.697628515175946</v>
      </c>
      <c r="P446" s="256">
        <v>2855234.8163100006</v>
      </c>
    </row>
    <row r="447" spans="6:16">
      <c r="F447" s="240"/>
      <c r="G447" s="235"/>
      <c r="H447" s="236" t="s">
        <v>547</v>
      </c>
      <c r="I447" s="239" t="s">
        <v>519</v>
      </c>
      <c r="J447" s="228" t="s">
        <v>533</v>
      </c>
      <c r="K447" s="229">
        <v>7.51</v>
      </c>
      <c r="L447" s="230">
        <v>7.66</v>
      </c>
      <c r="N447" s="248" t="s">
        <v>1002</v>
      </c>
      <c r="O447" s="249">
        <v>13.371377416964595</v>
      </c>
      <c r="P447" s="256">
        <v>2933788.5576900002</v>
      </c>
    </row>
    <row r="448" spans="6:16">
      <c r="F448" s="240"/>
      <c r="G448" s="235"/>
      <c r="H448" s="236" t="s">
        <v>555</v>
      </c>
      <c r="I448" s="239" t="s">
        <v>519</v>
      </c>
      <c r="J448" s="228" t="s">
        <v>536</v>
      </c>
      <c r="K448" s="229">
        <v>7.68</v>
      </c>
      <c r="L448" s="230">
        <v>7.83</v>
      </c>
      <c r="N448" s="248" t="s">
        <v>1003</v>
      </c>
      <c r="O448" s="249">
        <v>13.672618245805046</v>
      </c>
      <c r="P448" s="256">
        <v>2704342.0767700002</v>
      </c>
    </row>
    <row r="449" spans="6:16">
      <c r="F449" s="240"/>
      <c r="G449" s="235" t="s">
        <v>544</v>
      </c>
      <c r="H449" s="236" t="s">
        <v>557</v>
      </c>
      <c r="I449" s="239" t="s">
        <v>519</v>
      </c>
      <c r="J449" s="228" t="s">
        <v>549</v>
      </c>
      <c r="K449" s="229">
        <v>7.52</v>
      </c>
      <c r="L449" s="230">
        <v>7.64</v>
      </c>
      <c r="N449" s="248" t="s">
        <v>1004</v>
      </c>
      <c r="O449" s="249">
        <v>13.882129715481566</v>
      </c>
      <c r="P449" s="256">
        <v>2860234.7687799996</v>
      </c>
    </row>
    <row r="450" spans="6:16">
      <c r="F450" s="240"/>
      <c r="G450" s="235"/>
      <c r="H450" s="236" t="s">
        <v>528</v>
      </c>
      <c r="I450" s="239" t="s">
        <v>519</v>
      </c>
      <c r="J450" s="228" t="s">
        <v>550</v>
      </c>
      <c r="K450" s="229">
        <v>7.47</v>
      </c>
      <c r="L450" s="230">
        <v>7.49</v>
      </c>
      <c r="N450" s="248" t="s">
        <v>1005</v>
      </c>
      <c r="O450" s="249">
        <v>13.903384450298697</v>
      </c>
      <c r="P450" s="256">
        <v>2410505.7773000002</v>
      </c>
    </row>
    <row r="451" spans="6:16">
      <c r="F451" s="240"/>
      <c r="G451" s="235"/>
      <c r="H451" s="236" t="s">
        <v>530</v>
      </c>
      <c r="I451" s="239" t="s">
        <v>519</v>
      </c>
      <c r="J451" s="228" t="s">
        <v>551</v>
      </c>
      <c r="K451" s="229">
        <v>7.51</v>
      </c>
      <c r="L451" s="230">
        <v>6.61</v>
      </c>
      <c r="N451" s="248" t="s">
        <v>1006</v>
      </c>
      <c r="O451" s="249">
        <v>14.427791682174576</v>
      </c>
      <c r="P451" s="256">
        <v>3170255.5182200004</v>
      </c>
    </row>
    <row r="452" spans="6:16">
      <c r="F452" s="240"/>
      <c r="G452" s="235"/>
      <c r="H452" s="236" t="s">
        <v>532</v>
      </c>
      <c r="I452" s="239" t="s">
        <v>519</v>
      </c>
      <c r="J452" s="228" t="s">
        <v>552</v>
      </c>
      <c r="K452" s="229">
        <v>7.7</v>
      </c>
      <c r="L452" s="230">
        <v>6.55</v>
      </c>
      <c r="N452" s="248" t="s">
        <v>1007</v>
      </c>
      <c r="O452" s="249">
        <v>13.999019978069668</v>
      </c>
      <c r="P452" s="256">
        <v>2519648.72395</v>
      </c>
    </row>
    <row r="453" spans="6:16">
      <c r="F453" s="240"/>
      <c r="G453" s="235" t="s">
        <v>548</v>
      </c>
      <c r="H453" s="236" t="s">
        <v>534</v>
      </c>
      <c r="I453" s="239" t="s">
        <v>519</v>
      </c>
      <c r="J453" s="228" t="s">
        <v>545</v>
      </c>
      <c r="K453" s="229">
        <v>7.68</v>
      </c>
      <c r="L453" s="230">
        <v>7.06</v>
      </c>
      <c r="N453" s="248" t="s">
        <v>1008</v>
      </c>
      <c r="O453" s="249">
        <v>14.001439664325495</v>
      </c>
      <c r="P453" s="256">
        <v>2457242.0561500001</v>
      </c>
    </row>
    <row r="454" spans="6:16">
      <c r="F454" s="240"/>
      <c r="G454" s="235"/>
      <c r="H454" s="236" t="s">
        <v>518</v>
      </c>
      <c r="I454" s="239" t="s">
        <v>519</v>
      </c>
      <c r="J454" s="228" t="s">
        <v>520</v>
      </c>
      <c r="K454" s="229">
        <v>7.8</v>
      </c>
      <c r="L454" s="230">
        <v>8.39</v>
      </c>
      <c r="N454" s="248" t="s">
        <v>1009</v>
      </c>
      <c r="O454" s="249">
        <v>14.32790989237246</v>
      </c>
      <c r="P454" s="256">
        <v>2435568.6229099999</v>
      </c>
    </row>
    <row r="455" spans="6:16">
      <c r="F455" s="240"/>
      <c r="G455" s="235"/>
      <c r="H455" s="236" t="s">
        <v>521</v>
      </c>
      <c r="I455" s="239" t="s">
        <v>519</v>
      </c>
      <c r="J455" s="228" t="s">
        <v>522</v>
      </c>
      <c r="K455" s="229">
        <v>7.63</v>
      </c>
      <c r="L455" s="230">
        <v>8.27</v>
      </c>
      <c r="N455" s="248" t="s">
        <v>1010</v>
      </c>
      <c r="O455" s="249">
        <v>14.67797991389544</v>
      </c>
      <c r="P455" s="256">
        <v>3524753.3241999997</v>
      </c>
    </row>
    <row r="456" spans="6:16">
      <c r="F456" s="240"/>
      <c r="G456" s="235"/>
      <c r="H456" s="236" t="s">
        <v>540</v>
      </c>
      <c r="I456" s="239" t="s">
        <v>519</v>
      </c>
      <c r="J456" s="228" t="s">
        <v>523</v>
      </c>
      <c r="K456" s="229">
        <v>7.87</v>
      </c>
      <c r="L456" s="230">
        <v>8.84</v>
      </c>
      <c r="N456" s="248" t="s">
        <v>1011</v>
      </c>
      <c r="O456" s="249">
        <v>14.753270355288844</v>
      </c>
      <c r="P456" s="256">
        <v>2246882.21991</v>
      </c>
    </row>
    <row r="457" spans="6:16">
      <c r="F457" s="240"/>
      <c r="G457" s="235" t="s">
        <v>553</v>
      </c>
      <c r="H457" s="236" t="s">
        <v>524</v>
      </c>
      <c r="I457" s="239" t="s">
        <v>519</v>
      </c>
      <c r="J457" s="228" t="s">
        <v>527</v>
      </c>
      <c r="K457" s="229">
        <v>7.75</v>
      </c>
      <c r="L457" s="230">
        <v>7.19</v>
      </c>
      <c r="N457" s="248" t="s">
        <v>1012</v>
      </c>
      <c r="O457" s="249">
        <v>14.943025508675595</v>
      </c>
      <c r="P457" s="256">
        <v>2507660.0841000001</v>
      </c>
    </row>
    <row r="458" spans="6:16">
      <c r="F458" s="240"/>
      <c r="G458" s="235"/>
      <c r="H458" s="236" t="s">
        <v>543</v>
      </c>
      <c r="I458" s="239" t="s">
        <v>519</v>
      </c>
      <c r="J458" s="228" t="s">
        <v>529</v>
      </c>
      <c r="K458" s="229">
        <v>7.63</v>
      </c>
      <c r="L458" s="230">
        <v>7.03</v>
      </c>
      <c r="N458" s="248" t="s">
        <v>1013</v>
      </c>
      <c r="O458" s="249">
        <v>14.91860522184122</v>
      </c>
      <c r="P458" s="256">
        <v>2385825.5204699999</v>
      </c>
    </row>
    <row r="459" spans="6:16">
      <c r="F459" s="240"/>
      <c r="G459" s="235"/>
      <c r="H459" s="236" t="s">
        <v>546</v>
      </c>
      <c r="I459" s="239" t="s">
        <v>519</v>
      </c>
      <c r="J459" s="228" t="s">
        <v>531</v>
      </c>
      <c r="K459" s="229">
        <v>7.44</v>
      </c>
      <c r="L459" s="230">
        <v>7.18</v>
      </c>
      <c r="N459" s="248" t="s">
        <v>1014</v>
      </c>
      <c r="O459" s="249">
        <v>15.22516926214962</v>
      </c>
      <c r="P459" s="256">
        <v>2829969.6264999998</v>
      </c>
    </row>
    <row r="460" spans="6:16">
      <c r="F460" s="240"/>
      <c r="G460" s="235"/>
      <c r="H460" s="236" t="s">
        <v>547</v>
      </c>
      <c r="I460" s="239" t="s">
        <v>519</v>
      </c>
      <c r="J460" s="228" t="s">
        <v>533</v>
      </c>
      <c r="K460" s="229">
        <v>7.65</v>
      </c>
      <c r="L460" s="230">
        <v>8.01</v>
      </c>
      <c r="N460" s="248" t="s">
        <v>1015</v>
      </c>
      <c r="O460" s="249">
        <v>15.404738115482193</v>
      </c>
      <c r="P460" s="256">
        <v>3055585.35145</v>
      </c>
    </row>
    <row r="461" spans="6:16">
      <c r="F461" s="240"/>
      <c r="G461" s="235"/>
      <c r="H461" s="236" t="s">
        <v>555</v>
      </c>
      <c r="I461" s="239" t="s">
        <v>519</v>
      </c>
      <c r="J461" s="228" t="s">
        <v>536</v>
      </c>
      <c r="K461" s="229">
        <v>7.75</v>
      </c>
      <c r="L461" s="230">
        <v>8.44</v>
      </c>
      <c r="N461" s="248" t="s">
        <v>1016</v>
      </c>
      <c r="O461" s="249">
        <v>14.974298782998895</v>
      </c>
      <c r="P461" s="256">
        <v>2362734.3044099999</v>
      </c>
    </row>
    <row r="462" spans="6:16">
      <c r="F462" s="240"/>
      <c r="G462" s="235" t="s">
        <v>554</v>
      </c>
      <c r="H462" s="236" t="s">
        <v>557</v>
      </c>
      <c r="I462" s="239" t="s">
        <v>519</v>
      </c>
      <c r="J462" s="228" t="s">
        <v>538</v>
      </c>
      <c r="K462" s="229">
        <v>7.86</v>
      </c>
      <c r="L462" s="230">
        <v>8.17</v>
      </c>
      <c r="N462" s="248" t="s">
        <v>1017</v>
      </c>
      <c r="O462" s="249">
        <v>15.425505127741367</v>
      </c>
      <c r="P462" s="256">
        <v>2834326.4510300001</v>
      </c>
    </row>
    <row r="463" spans="6:16">
      <c r="F463" s="240"/>
      <c r="G463" s="235"/>
      <c r="H463" s="236" t="s">
        <v>549</v>
      </c>
      <c r="I463" s="239" t="s">
        <v>519</v>
      </c>
      <c r="J463" s="228" t="s">
        <v>539</v>
      </c>
      <c r="K463" s="229">
        <v>8.2799999999999994</v>
      </c>
      <c r="L463" s="230">
        <v>9.02</v>
      </c>
      <c r="N463" s="248" t="s">
        <v>1018</v>
      </c>
      <c r="O463" s="249">
        <v>15.601039399453738</v>
      </c>
      <c r="P463" s="256">
        <v>2206557.70695</v>
      </c>
    </row>
    <row r="464" spans="6:16">
      <c r="F464" s="240"/>
      <c r="G464" s="235"/>
      <c r="H464" s="236" t="s">
        <v>550</v>
      </c>
      <c r="I464" s="239" t="s">
        <v>519</v>
      </c>
      <c r="J464" s="228" t="s">
        <v>541</v>
      </c>
      <c r="K464" s="229">
        <v>8.23</v>
      </c>
      <c r="L464" s="230">
        <v>8.65</v>
      </c>
      <c r="N464" s="248" t="s">
        <v>1019</v>
      </c>
      <c r="O464" s="249">
        <v>15.833525165242147</v>
      </c>
      <c r="P464" s="256">
        <v>2989740.9968999997</v>
      </c>
    </row>
    <row r="465" spans="6:16">
      <c r="F465" s="240"/>
      <c r="G465" s="235"/>
      <c r="H465" s="236" t="s">
        <v>551</v>
      </c>
      <c r="I465" s="239" t="s">
        <v>519</v>
      </c>
      <c r="J465" s="228" t="s">
        <v>542</v>
      </c>
      <c r="K465" s="229">
        <v>8.48</v>
      </c>
      <c r="L465" s="230">
        <v>8.6300000000000008</v>
      </c>
      <c r="N465" s="248" t="s">
        <v>1020</v>
      </c>
      <c r="O465" s="249">
        <v>15.201793950428392</v>
      </c>
      <c r="P465" s="256">
        <v>2740547.9619</v>
      </c>
    </row>
    <row r="466" spans="6:16">
      <c r="F466" s="240"/>
      <c r="G466" s="235" t="s">
        <v>556</v>
      </c>
      <c r="H466" s="236" t="s">
        <v>552</v>
      </c>
      <c r="I466" s="239" t="s">
        <v>519</v>
      </c>
      <c r="J466" s="228" t="s">
        <v>543</v>
      </c>
      <c r="K466" s="229">
        <v>8.26</v>
      </c>
      <c r="L466" s="230">
        <v>8.6199999999999992</v>
      </c>
      <c r="N466" s="248" t="s">
        <v>1021</v>
      </c>
      <c r="O466" s="249">
        <v>15.81135865909698</v>
      </c>
      <c r="P466" s="256">
        <v>2722690.0624199999</v>
      </c>
    </row>
    <row r="467" spans="6:16">
      <c r="F467" s="240"/>
      <c r="G467" s="235"/>
      <c r="H467" s="236" t="s">
        <v>545</v>
      </c>
      <c r="I467" s="239" t="s">
        <v>519</v>
      </c>
      <c r="J467" s="228" t="s">
        <v>546</v>
      </c>
      <c r="K467" s="229">
        <v>8.39</v>
      </c>
      <c r="L467" s="230">
        <v>8.86</v>
      </c>
      <c r="N467" s="248" t="s">
        <v>1022</v>
      </c>
      <c r="O467" s="249">
        <v>15.849832419244965</v>
      </c>
      <c r="P467" s="256">
        <v>2826639.3879000004</v>
      </c>
    </row>
    <row r="468" spans="6:16">
      <c r="F468" s="240"/>
      <c r="G468" s="235"/>
      <c r="H468" s="236" t="s">
        <v>520</v>
      </c>
      <c r="I468" s="239" t="s">
        <v>519</v>
      </c>
      <c r="J468" s="228" t="s">
        <v>547</v>
      </c>
      <c r="K468" s="229">
        <v>8.51</v>
      </c>
      <c r="L468" s="230">
        <v>8.34</v>
      </c>
      <c r="N468" s="248" t="s">
        <v>1023</v>
      </c>
      <c r="O468" s="249">
        <v>16.054937354489308</v>
      </c>
      <c r="P468" s="256">
        <v>3407656.0090199998</v>
      </c>
    </row>
    <row r="469" spans="6:16">
      <c r="F469" s="240"/>
      <c r="G469" s="235"/>
      <c r="H469" s="236" t="s">
        <v>522</v>
      </c>
      <c r="I469" s="239" t="s">
        <v>519</v>
      </c>
      <c r="J469" s="228" t="s">
        <v>555</v>
      </c>
      <c r="K469" s="229">
        <v>8.89</v>
      </c>
      <c r="L469" s="230">
        <v>8.8800000000000008</v>
      </c>
      <c r="N469" s="248" t="s">
        <v>1024</v>
      </c>
      <c r="O469" s="249">
        <v>15.522830596272785</v>
      </c>
      <c r="P469" s="256">
        <v>2943169.9215700002</v>
      </c>
    </row>
    <row r="470" spans="6:16">
      <c r="F470" s="240"/>
      <c r="G470" s="235"/>
      <c r="H470" s="236" t="s">
        <v>523</v>
      </c>
      <c r="I470" s="239" t="s">
        <v>519</v>
      </c>
      <c r="J470" s="228" t="s">
        <v>557</v>
      </c>
      <c r="K470" s="229">
        <v>9.0500000000000007</v>
      </c>
      <c r="L470" s="230">
        <v>8.5500000000000007</v>
      </c>
      <c r="N470" s="248" t="s">
        <v>1025</v>
      </c>
      <c r="O470" s="249">
        <v>15.715004701735996</v>
      </c>
      <c r="P470" s="256">
        <v>2793712.1972500002</v>
      </c>
    </row>
    <row r="471" spans="6:16">
      <c r="F471" s="240"/>
      <c r="G471" s="235" t="s">
        <v>558</v>
      </c>
      <c r="H471" s="236" t="s">
        <v>527</v>
      </c>
      <c r="I471" s="239" t="s">
        <v>519</v>
      </c>
      <c r="J471" s="228" t="s">
        <v>528</v>
      </c>
      <c r="K471" s="229">
        <v>8.59</v>
      </c>
      <c r="L471" s="230">
        <v>8.81</v>
      </c>
      <c r="N471" s="248" t="s">
        <v>1026</v>
      </c>
      <c r="O471" s="249">
        <v>15.756179213634528</v>
      </c>
      <c r="P471" s="256">
        <v>2285336.68126</v>
      </c>
    </row>
    <row r="472" spans="6:16">
      <c r="F472" s="240"/>
      <c r="G472" s="235"/>
      <c r="H472" s="236" t="s">
        <v>529</v>
      </c>
      <c r="I472" s="239" t="s">
        <v>519</v>
      </c>
      <c r="J472" s="228" t="s">
        <v>530</v>
      </c>
      <c r="K472" s="229">
        <v>8.64</v>
      </c>
      <c r="L472" s="230">
        <v>9.39</v>
      </c>
      <c r="N472" s="248" t="s">
        <v>1027</v>
      </c>
      <c r="O472" s="249">
        <v>15.53987392978738</v>
      </c>
      <c r="P472" s="256">
        <v>3240800.7234500004</v>
      </c>
    </row>
    <row r="473" spans="6:16">
      <c r="F473" s="240"/>
      <c r="G473" s="235"/>
      <c r="H473" s="236" t="s">
        <v>531</v>
      </c>
      <c r="I473" s="239" t="s">
        <v>519</v>
      </c>
      <c r="J473" s="228" t="s">
        <v>532</v>
      </c>
      <c r="K473" s="229">
        <v>8.7100000000000009</v>
      </c>
      <c r="L473" s="230">
        <v>8.7200000000000006</v>
      </c>
      <c r="N473" s="248" t="s">
        <v>1028</v>
      </c>
      <c r="O473" s="249">
        <v>15.582764160363428</v>
      </c>
      <c r="P473" s="256">
        <v>3657240.7652099999</v>
      </c>
    </row>
    <row r="474" spans="6:16">
      <c r="F474" s="240"/>
      <c r="G474" s="235"/>
      <c r="H474" s="236" t="s">
        <v>533</v>
      </c>
      <c r="I474" s="239" t="s">
        <v>519</v>
      </c>
      <c r="J474" s="228" t="s">
        <v>534</v>
      </c>
      <c r="K474" s="229">
        <v>8.94</v>
      </c>
      <c r="L474" s="230">
        <v>8.8699999999999992</v>
      </c>
      <c r="N474" s="248" t="s">
        <v>1029</v>
      </c>
      <c r="O474" s="249">
        <v>15.281893250069217</v>
      </c>
      <c r="P474" s="256">
        <v>2661896.42777</v>
      </c>
    </row>
    <row r="475" spans="6:16">
      <c r="F475" s="240"/>
      <c r="G475" s="235" t="s">
        <v>559</v>
      </c>
      <c r="H475" s="236" t="s">
        <v>536</v>
      </c>
      <c r="I475" s="239" t="s">
        <v>519</v>
      </c>
      <c r="J475" s="228" t="s">
        <v>518</v>
      </c>
      <c r="K475" s="229">
        <v>8.86</v>
      </c>
      <c r="L475" s="230">
        <v>7.9</v>
      </c>
      <c r="N475" s="248" t="s">
        <v>1030</v>
      </c>
      <c r="O475" s="249">
        <v>15.286423112453765</v>
      </c>
      <c r="P475" s="256">
        <v>2925382.9758200003</v>
      </c>
    </row>
    <row r="476" spans="6:16">
      <c r="F476" s="240"/>
      <c r="G476" s="235"/>
      <c r="H476" s="236" t="s">
        <v>538</v>
      </c>
      <c r="I476" s="239" t="s">
        <v>519</v>
      </c>
      <c r="J476" s="228" t="s">
        <v>521</v>
      </c>
      <c r="K476" s="229">
        <v>8.74</v>
      </c>
      <c r="L476" s="230">
        <v>7.7</v>
      </c>
      <c r="N476" s="248" t="s">
        <v>1031</v>
      </c>
      <c r="O476" s="249">
        <v>15.606170855104549</v>
      </c>
      <c r="P476" s="256">
        <v>3405293.6511300001</v>
      </c>
    </row>
    <row r="477" spans="6:16">
      <c r="F477" s="240"/>
      <c r="G477" s="235"/>
      <c r="H477" s="236" t="s">
        <v>539</v>
      </c>
      <c r="I477" s="239" t="s">
        <v>519</v>
      </c>
      <c r="J477" s="228" t="s">
        <v>540</v>
      </c>
      <c r="K477" s="229">
        <v>9.08</v>
      </c>
      <c r="L477" s="230">
        <v>8.7200000000000006</v>
      </c>
      <c r="N477" s="248" t="s">
        <v>1032</v>
      </c>
      <c r="O477" s="249">
        <v>15.665365976734826</v>
      </c>
      <c r="P477" s="256">
        <v>4120539.4592700005</v>
      </c>
    </row>
    <row r="478" spans="6:16">
      <c r="F478" s="240"/>
      <c r="G478" s="235"/>
      <c r="H478" s="236" t="s">
        <v>541</v>
      </c>
      <c r="I478" s="239" t="s">
        <v>519</v>
      </c>
      <c r="J478" s="228" t="s">
        <v>524</v>
      </c>
      <c r="K478" s="229">
        <v>9.27</v>
      </c>
      <c r="L478" s="230">
        <v>9.18</v>
      </c>
      <c r="N478" s="248" t="s">
        <v>1033</v>
      </c>
      <c r="O478" s="249">
        <v>15.213727584803422</v>
      </c>
      <c r="P478" s="256">
        <v>3336513.1078099995</v>
      </c>
    </row>
    <row r="479" spans="6:16">
      <c r="F479" s="240"/>
      <c r="G479" s="235" t="s">
        <v>560</v>
      </c>
      <c r="H479" s="236" t="s">
        <v>542</v>
      </c>
      <c r="I479" s="239" t="s">
        <v>519</v>
      </c>
      <c r="J479" s="228" t="s">
        <v>543</v>
      </c>
      <c r="K479" s="229">
        <v>8.98</v>
      </c>
      <c r="L479" s="230">
        <v>8.89</v>
      </c>
      <c r="N479" s="248" t="s">
        <v>1034</v>
      </c>
      <c r="O479" s="249">
        <v>15.335026753568739</v>
      </c>
      <c r="P479" s="256">
        <v>3847145.9339999999</v>
      </c>
    </row>
    <row r="480" spans="6:16">
      <c r="F480" s="240"/>
      <c r="G480" s="235"/>
      <c r="H480" s="236" t="s">
        <v>545</v>
      </c>
      <c r="I480" s="239" t="s">
        <v>519</v>
      </c>
      <c r="J480" s="228" t="s">
        <v>546</v>
      </c>
      <c r="K480" s="229">
        <v>8.9700000000000006</v>
      </c>
      <c r="L480" s="230">
        <v>9.16</v>
      </c>
      <c r="N480" s="248" t="s">
        <v>1035</v>
      </c>
      <c r="O480" s="249">
        <v>15.186099960529482</v>
      </c>
      <c r="P480" s="256">
        <v>4767754.6053600004</v>
      </c>
    </row>
    <row r="481" spans="6:16" ht="15.75" thickBot="1">
      <c r="F481" s="240"/>
      <c r="G481" s="235"/>
      <c r="H481" s="236" t="s">
        <v>520</v>
      </c>
      <c r="I481" s="239" t="s">
        <v>519</v>
      </c>
      <c r="J481" s="228" t="s">
        <v>547</v>
      </c>
      <c r="K481" s="229">
        <v>8.89</v>
      </c>
      <c r="L481" s="230">
        <v>8.74</v>
      </c>
      <c r="N481" s="248" t="s">
        <v>1036</v>
      </c>
      <c r="O481" s="249">
        <v>16.132163896230164</v>
      </c>
      <c r="P481" s="256">
        <v>3112642.6882600002</v>
      </c>
    </row>
    <row r="482" spans="6:16" ht="16.5" thickBot="1">
      <c r="F482" s="240"/>
      <c r="G482" s="235"/>
      <c r="H482" s="236" t="s">
        <v>522</v>
      </c>
      <c r="I482" s="239" t="s">
        <v>519</v>
      </c>
      <c r="J482" s="228" t="s">
        <v>555</v>
      </c>
      <c r="K482" s="229">
        <v>8.85</v>
      </c>
      <c r="L482" s="230">
        <v>9.66</v>
      </c>
      <c r="N482" s="251" t="s">
        <v>561</v>
      </c>
      <c r="O482" s="252">
        <f>AVERAGE(O430:O481)</f>
        <v>14.305276264171896</v>
      </c>
      <c r="P482" s="256"/>
    </row>
    <row r="483" spans="6:16" ht="15.75" thickBot="1">
      <c r="F483" s="240"/>
      <c r="G483" s="235"/>
      <c r="H483" s="236" t="s">
        <v>523</v>
      </c>
      <c r="I483" s="239" t="s">
        <v>519</v>
      </c>
      <c r="J483" s="228" t="s">
        <v>557</v>
      </c>
      <c r="K483" s="229">
        <v>8.84</v>
      </c>
      <c r="L483" s="230">
        <v>8.4600000000000009</v>
      </c>
      <c r="N483" s="248" t="s">
        <v>1037</v>
      </c>
      <c r="O483" s="249">
        <v>15.295956388380752</v>
      </c>
      <c r="P483" s="256">
        <v>1617664.0546900001</v>
      </c>
    </row>
    <row r="484" spans="6:16" ht="15.75" thickBot="1">
      <c r="F484" s="640" t="s">
        <v>561</v>
      </c>
      <c r="G484" s="641"/>
      <c r="H484" s="641"/>
      <c r="I484" s="641"/>
      <c r="J484" s="641"/>
      <c r="K484" s="642"/>
      <c r="L484" s="234">
        <f>AVERAGE(L432:L483)</f>
        <v>8.12846153846154</v>
      </c>
      <c r="N484" s="248" t="s">
        <v>1038</v>
      </c>
      <c r="O484" s="249">
        <v>14.624500740100279</v>
      </c>
      <c r="P484" s="256">
        <v>2797234.4233899997</v>
      </c>
    </row>
    <row r="485" spans="6:16">
      <c r="F485" s="240">
        <v>2008</v>
      </c>
      <c r="G485" s="235" t="s">
        <v>517</v>
      </c>
      <c r="H485" s="236" t="s">
        <v>525</v>
      </c>
      <c r="I485" s="239" t="s">
        <v>519</v>
      </c>
      <c r="J485" s="228" t="s">
        <v>549</v>
      </c>
      <c r="K485" s="229">
        <v>8.85</v>
      </c>
      <c r="L485" s="230">
        <v>9.02</v>
      </c>
      <c r="N485" s="248" t="s">
        <v>1039</v>
      </c>
      <c r="O485" s="249">
        <v>15.140942752688693</v>
      </c>
      <c r="P485" s="256">
        <v>3021486.34987</v>
      </c>
    </row>
    <row r="486" spans="6:16">
      <c r="F486" s="240"/>
      <c r="G486" s="235"/>
      <c r="H486" s="236" t="s">
        <v>528</v>
      </c>
      <c r="I486" s="239" t="s">
        <v>519</v>
      </c>
      <c r="J486" s="228" t="s">
        <v>550</v>
      </c>
      <c r="K486" s="229">
        <v>9.0299999999999994</v>
      </c>
      <c r="L486" s="230">
        <v>8.8800000000000008</v>
      </c>
      <c r="N486" s="248" t="s">
        <v>1040</v>
      </c>
      <c r="O486" s="249">
        <v>15.50289353615452</v>
      </c>
      <c r="P486" s="256">
        <v>3086034.6612900002</v>
      </c>
    </row>
    <row r="487" spans="6:16">
      <c r="F487" s="240"/>
      <c r="G487" s="235"/>
      <c r="H487" s="236" t="s">
        <v>530</v>
      </c>
      <c r="I487" s="239" t="s">
        <v>519</v>
      </c>
      <c r="J487" s="228" t="s">
        <v>551</v>
      </c>
      <c r="K487" s="229">
        <v>8.6</v>
      </c>
      <c r="L487" s="230">
        <v>8.9600000000000009</v>
      </c>
      <c r="N487" s="248" t="s">
        <v>1041</v>
      </c>
      <c r="O487" s="253">
        <v>15.634064660748335</v>
      </c>
      <c r="P487" s="250">
        <v>3923017.1249199999</v>
      </c>
    </row>
    <row r="488" spans="6:16">
      <c r="F488" s="240"/>
      <c r="G488" s="235"/>
      <c r="H488" s="236" t="s">
        <v>532</v>
      </c>
      <c r="I488" s="239" t="s">
        <v>519</v>
      </c>
      <c r="J488" s="228" t="s">
        <v>552</v>
      </c>
      <c r="K488" s="229">
        <v>8.83</v>
      </c>
      <c r="L488" s="230">
        <v>8.8699999999999992</v>
      </c>
      <c r="N488" s="248" t="s">
        <v>1042</v>
      </c>
      <c r="O488" s="253">
        <v>15.283353911377898</v>
      </c>
      <c r="P488" s="250">
        <v>3360680.9293299997</v>
      </c>
    </row>
    <row r="489" spans="6:16">
      <c r="F489" s="240"/>
      <c r="G489" s="235" t="s">
        <v>526</v>
      </c>
      <c r="H489" s="236" t="s">
        <v>534</v>
      </c>
      <c r="I489" s="239" t="s">
        <v>519</v>
      </c>
      <c r="J489" s="228" t="s">
        <v>545</v>
      </c>
      <c r="K489" s="229">
        <v>8.8699999999999992</v>
      </c>
      <c r="L489" s="230">
        <v>8.9600000000000009</v>
      </c>
      <c r="N489" s="248" t="s">
        <v>1043</v>
      </c>
      <c r="O489" s="253">
        <v>14.631768191104968</v>
      </c>
      <c r="P489" s="250">
        <v>4414419.57</v>
      </c>
    </row>
    <row r="490" spans="6:16">
      <c r="F490" s="240"/>
      <c r="G490" s="235"/>
      <c r="H490" s="236" t="s">
        <v>518</v>
      </c>
      <c r="I490" s="239" t="s">
        <v>519</v>
      </c>
      <c r="J490" s="228" t="s">
        <v>520</v>
      </c>
      <c r="K490" s="229">
        <v>9.14</v>
      </c>
      <c r="L490" s="230">
        <v>9.9</v>
      </c>
      <c r="N490" s="248" t="s">
        <v>1044</v>
      </c>
      <c r="O490" s="253">
        <v>15.649914119179167</v>
      </c>
      <c r="P490" s="250">
        <v>3418300.43567</v>
      </c>
    </row>
    <row r="491" spans="6:16">
      <c r="F491" s="240"/>
      <c r="G491" s="235"/>
      <c r="H491" s="236" t="s">
        <v>521</v>
      </c>
      <c r="I491" s="239" t="s">
        <v>519</v>
      </c>
      <c r="J491" s="228" t="s">
        <v>522</v>
      </c>
      <c r="K491" s="229">
        <v>9.09</v>
      </c>
      <c r="L491" s="230">
        <v>9.0399999999999991</v>
      </c>
      <c r="N491" s="248" t="s">
        <v>1045</v>
      </c>
      <c r="O491" s="253">
        <v>16.160838419616873</v>
      </c>
      <c r="P491" s="250">
        <v>3915536.5919900001</v>
      </c>
    </row>
    <row r="492" spans="6:16">
      <c r="F492" s="240"/>
      <c r="G492" s="235"/>
      <c r="H492" s="236" t="s">
        <v>540</v>
      </c>
      <c r="I492" s="239" t="s">
        <v>519</v>
      </c>
      <c r="J492" s="228" t="s">
        <v>523</v>
      </c>
      <c r="K492" s="229">
        <v>9.06</v>
      </c>
      <c r="L492" s="230">
        <v>9.7200000000000006</v>
      </c>
      <c r="N492" s="248" t="s">
        <v>1046</v>
      </c>
      <c r="O492" s="253">
        <v>15.808923297562332</v>
      </c>
      <c r="P492" s="250">
        <v>3157083.5097200004</v>
      </c>
    </row>
    <row r="493" spans="6:16">
      <c r="F493" s="240"/>
      <c r="G493" s="235" t="s">
        <v>535</v>
      </c>
      <c r="H493" s="236" t="s">
        <v>524</v>
      </c>
      <c r="I493" s="239" t="s">
        <v>519</v>
      </c>
      <c r="J493" s="228" t="s">
        <v>543</v>
      </c>
      <c r="K493" s="229">
        <v>8.93</v>
      </c>
      <c r="L493" s="230">
        <v>8.92</v>
      </c>
      <c r="N493" s="248" t="s">
        <v>1047</v>
      </c>
      <c r="O493" s="253">
        <v>15.565602026808151</v>
      </c>
      <c r="P493" s="250">
        <v>3952084.8280400001</v>
      </c>
    </row>
    <row r="494" spans="6:16">
      <c r="F494" s="240"/>
      <c r="G494" s="235"/>
      <c r="H494" s="236" t="s">
        <v>545</v>
      </c>
      <c r="I494" s="239" t="s">
        <v>519</v>
      </c>
      <c r="J494" s="228" t="s">
        <v>546</v>
      </c>
      <c r="K494" s="229">
        <v>9.3699999999999992</v>
      </c>
      <c r="L494" s="230">
        <v>8.99</v>
      </c>
      <c r="N494" s="248" t="s">
        <v>1048</v>
      </c>
      <c r="O494" s="253">
        <v>16.119476461996644</v>
      </c>
      <c r="P494" s="250">
        <v>2830766.9448200003</v>
      </c>
    </row>
    <row r="495" spans="6:16">
      <c r="F495" s="240"/>
      <c r="G495" s="235"/>
      <c r="H495" s="236" t="s">
        <v>520</v>
      </c>
      <c r="I495" s="239" t="s">
        <v>519</v>
      </c>
      <c r="J495" s="228" t="s">
        <v>547</v>
      </c>
      <c r="K495" s="229">
        <v>9.2200000000000006</v>
      </c>
      <c r="L495" s="230">
        <v>9.4499999999999993</v>
      </c>
      <c r="N495" s="248" t="s">
        <v>1049</v>
      </c>
      <c r="O495" s="253">
        <v>15.711114598830473</v>
      </c>
      <c r="P495" s="250">
        <v>3801804.4613800002</v>
      </c>
    </row>
    <row r="496" spans="6:16">
      <c r="F496" s="240"/>
      <c r="G496" s="235"/>
      <c r="H496" s="236" t="s">
        <v>522</v>
      </c>
      <c r="I496" s="239" t="s">
        <v>519</v>
      </c>
      <c r="J496" s="228" t="s">
        <v>555</v>
      </c>
      <c r="K496" s="229">
        <v>9.35</v>
      </c>
      <c r="L496" s="230">
        <v>9.52</v>
      </c>
      <c r="N496" s="248" t="s">
        <v>1050</v>
      </c>
      <c r="O496" s="253">
        <v>16.581870397377077</v>
      </c>
      <c r="P496" s="250">
        <v>3584365.6233600001</v>
      </c>
    </row>
    <row r="497" spans="6:16">
      <c r="F497" s="240"/>
      <c r="G497" s="235"/>
      <c r="H497" s="236" t="s">
        <v>523</v>
      </c>
      <c r="I497" s="239" t="s">
        <v>519</v>
      </c>
      <c r="J497" s="228" t="s">
        <v>557</v>
      </c>
      <c r="K497" s="229">
        <v>9.0299999999999994</v>
      </c>
      <c r="L497" s="230">
        <v>9.6300000000000008</v>
      </c>
      <c r="N497" s="248" t="s">
        <v>1051</v>
      </c>
      <c r="O497" s="253">
        <v>16.446328330057458</v>
      </c>
      <c r="P497" s="250">
        <v>3208790.3668499999</v>
      </c>
    </row>
    <row r="498" spans="6:16">
      <c r="F498" s="240"/>
      <c r="G498" s="235" t="s">
        <v>537</v>
      </c>
      <c r="H498" s="236" t="s">
        <v>525</v>
      </c>
      <c r="I498" s="239" t="s">
        <v>519</v>
      </c>
      <c r="J498" s="228" t="s">
        <v>549</v>
      </c>
      <c r="K498" s="229">
        <v>9.56</v>
      </c>
      <c r="L498" s="230">
        <v>9.44</v>
      </c>
      <c r="N498" s="248" t="s">
        <v>1052</v>
      </c>
      <c r="O498" s="253">
        <v>16.875009350729432</v>
      </c>
      <c r="P498" s="250">
        <v>3192352.9307699995</v>
      </c>
    </row>
    <row r="499" spans="6:16">
      <c r="F499" s="240"/>
      <c r="G499" s="235"/>
      <c r="H499" s="236" t="s">
        <v>528</v>
      </c>
      <c r="I499" s="239" t="s">
        <v>519</v>
      </c>
      <c r="J499" s="228" t="s">
        <v>550</v>
      </c>
      <c r="K499" s="229">
        <v>9.48</v>
      </c>
      <c r="L499" s="230">
        <v>10.49</v>
      </c>
      <c r="N499" s="248" t="s">
        <v>1053</v>
      </c>
      <c r="O499" s="253">
        <v>16.738257842427771</v>
      </c>
      <c r="P499" s="250">
        <v>3264171.0386399999</v>
      </c>
    </row>
    <row r="500" spans="6:16">
      <c r="F500" s="240"/>
      <c r="G500" s="235"/>
      <c r="H500" s="236" t="s">
        <v>530</v>
      </c>
      <c r="I500" s="239" t="s">
        <v>519</v>
      </c>
      <c r="J500" s="228" t="s">
        <v>551</v>
      </c>
      <c r="K500" s="229">
        <v>9.8000000000000007</v>
      </c>
      <c r="L500" s="230">
        <v>10.33</v>
      </c>
      <c r="N500" s="248" t="s">
        <v>1054</v>
      </c>
      <c r="O500" s="253">
        <v>16.861296233222138</v>
      </c>
      <c r="P500" s="250">
        <v>3347872.5160700008</v>
      </c>
    </row>
    <row r="501" spans="6:16" ht="15.75">
      <c r="F501" s="240"/>
      <c r="G501" s="235"/>
      <c r="H501" s="236" t="s">
        <v>532</v>
      </c>
      <c r="I501" s="239" t="s">
        <v>519</v>
      </c>
      <c r="J501" s="228" t="s">
        <v>552</v>
      </c>
      <c r="K501" s="229">
        <v>9.74</v>
      </c>
      <c r="L501" s="230">
        <v>10.77</v>
      </c>
      <c r="N501" s="257" t="s">
        <v>1055</v>
      </c>
      <c r="O501" s="253">
        <v>16.598929079228359</v>
      </c>
      <c r="P501" s="250">
        <v>2516241.9901399999</v>
      </c>
    </row>
    <row r="502" spans="6:16">
      <c r="F502" s="240"/>
      <c r="G502" s="235" t="s">
        <v>544</v>
      </c>
      <c r="H502" s="236" t="s">
        <v>534</v>
      </c>
      <c r="I502" s="239" t="s">
        <v>519</v>
      </c>
      <c r="J502" s="228" t="s">
        <v>518</v>
      </c>
      <c r="K502" s="229">
        <v>9.98</v>
      </c>
      <c r="L502" s="230">
        <v>9.34</v>
      </c>
      <c r="N502" s="248" t="s">
        <v>1056</v>
      </c>
      <c r="O502" s="253">
        <v>16.309001748017494</v>
      </c>
      <c r="P502" s="250">
        <v>3422575.6344299996</v>
      </c>
    </row>
    <row r="503" spans="6:16">
      <c r="F503" s="240"/>
      <c r="G503" s="235"/>
      <c r="H503" s="236" t="s">
        <v>538</v>
      </c>
      <c r="I503" s="239" t="s">
        <v>519</v>
      </c>
      <c r="J503" s="228" t="s">
        <v>521</v>
      </c>
      <c r="K503" s="229">
        <v>9.8000000000000007</v>
      </c>
      <c r="L503" s="230">
        <v>10.32</v>
      </c>
      <c r="N503" s="248" t="s">
        <v>1057</v>
      </c>
      <c r="O503" s="253">
        <v>16.754369630927876</v>
      </c>
      <c r="P503" s="250">
        <v>2985658.9416699996</v>
      </c>
    </row>
    <row r="504" spans="6:16">
      <c r="F504" s="240"/>
      <c r="G504" s="235"/>
      <c r="H504" s="236" t="s">
        <v>539</v>
      </c>
      <c r="I504" s="239" t="s">
        <v>519</v>
      </c>
      <c r="J504" s="228" t="s">
        <v>540</v>
      </c>
      <c r="K504" s="229">
        <v>9.69</v>
      </c>
      <c r="L504" s="230">
        <v>9.6300000000000008</v>
      </c>
      <c r="N504" s="248" t="s">
        <v>1058</v>
      </c>
      <c r="O504" s="253">
        <v>16.132804625285395</v>
      </c>
      <c r="P504" s="250">
        <v>3945904.0425100001</v>
      </c>
    </row>
    <row r="505" spans="6:16">
      <c r="F505" s="240"/>
      <c r="G505" s="235"/>
      <c r="H505" s="236" t="s">
        <v>541</v>
      </c>
      <c r="I505" s="239" t="s">
        <v>519</v>
      </c>
      <c r="J505" s="228" t="s">
        <v>524</v>
      </c>
      <c r="K505" s="229">
        <v>9.6</v>
      </c>
      <c r="L505" s="230">
        <v>9.82</v>
      </c>
      <c r="N505" s="248" t="s">
        <v>1059</v>
      </c>
      <c r="O505" s="253">
        <v>16.094984325972518</v>
      </c>
      <c r="P505" s="250">
        <v>3064094.92019</v>
      </c>
    </row>
    <row r="506" spans="6:16">
      <c r="F506" s="240"/>
      <c r="G506" s="235" t="s">
        <v>548</v>
      </c>
      <c r="H506" s="236" t="s">
        <v>542</v>
      </c>
      <c r="I506" s="239" t="s">
        <v>519</v>
      </c>
      <c r="J506" s="228" t="s">
        <v>527</v>
      </c>
      <c r="K506" s="229">
        <v>9.6</v>
      </c>
      <c r="L506" s="230">
        <v>9.14</v>
      </c>
      <c r="N506" s="248" t="s">
        <v>1060</v>
      </c>
      <c r="O506" s="253">
        <v>15.789567344631912</v>
      </c>
      <c r="P506" s="250">
        <v>3761106.8523599999</v>
      </c>
    </row>
    <row r="507" spans="6:16">
      <c r="F507" s="240"/>
      <c r="G507" s="235"/>
      <c r="H507" s="236" t="s">
        <v>543</v>
      </c>
      <c r="I507" s="239" t="s">
        <v>519</v>
      </c>
      <c r="J507" s="228" t="s">
        <v>529</v>
      </c>
      <c r="K507" s="229">
        <v>9.4499999999999993</v>
      </c>
      <c r="L507" s="230">
        <v>8.68</v>
      </c>
      <c r="N507" s="248" t="s">
        <v>1061</v>
      </c>
      <c r="O507" s="253">
        <v>16.367552470815411</v>
      </c>
      <c r="P507" s="250">
        <v>3432182.0497699999</v>
      </c>
    </row>
    <row r="508" spans="6:16">
      <c r="F508" s="240"/>
      <c r="G508" s="235"/>
      <c r="H508" s="236" t="s">
        <v>546</v>
      </c>
      <c r="I508" s="239" t="s">
        <v>519</v>
      </c>
      <c r="J508" s="228" t="s">
        <v>531</v>
      </c>
      <c r="K508" s="229">
        <v>9.82</v>
      </c>
      <c r="L508" s="230">
        <v>8.64</v>
      </c>
      <c r="N508" s="248" t="s">
        <v>1062</v>
      </c>
      <c r="O508" s="253">
        <v>16.663718684432478</v>
      </c>
      <c r="P508" s="250">
        <v>4655695.2882099999</v>
      </c>
    </row>
    <row r="509" spans="6:16">
      <c r="F509" s="240"/>
      <c r="G509" s="235"/>
      <c r="H509" s="236" t="s">
        <v>547</v>
      </c>
      <c r="I509" s="239" t="s">
        <v>519</v>
      </c>
      <c r="J509" s="228" t="s">
        <v>533</v>
      </c>
      <c r="K509" s="229">
        <v>10.1</v>
      </c>
      <c r="L509" s="230">
        <v>9.68</v>
      </c>
      <c r="N509" s="248" t="s">
        <v>1063</v>
      </c>
      <c r="O509" s="253">
        <v>15.891063941185582</v>
      </c>
      <c r="P509" s="250">
        <v>2776748.7748099999</v>
      </c>
    </row>
    <row r="510" spans="6:16">
      <c r="F510" s="240"/>
      <c r="G510" s="235"/>
      <c r="H510" s="236" t="s">
        <v>555</v>
      </c>
      <c r="I510" s="239" t="s">
        <v>519</v>
      </c>
      <c r="J510" s="228" t="s">
        <v>536</v>
      </c>
      <c r="K510" s="229">
        <v>9.8699999999999992</v>
      </c>
      <c r="L510" s="230">
        <v>8.51</v>
      </c>
      <c r="N510" s="248" t="s">
        <v>1064</v>
      </c>
      <c r="O510" s="253">
        <v>16.04139197694106</v>
      </c>
      <c r="P510" s="250">
        <v>3144515.0227600001</v>
      </c>
    </row>
    <row r="511" spans="6:16">
      <c r="F511" s="240"/>
      <c r="G511" s="235" t="s">
        <v>553</v>
      </c>
      <c r="H511" s="236" t="s">
        <v>557</v>
      </c>
      <c r="I511" s="239" t="s">
        <v>519</v>
      </c>
      <c r="J511" s="228" t="s">
        <v>549</v>
      </c>
      <c r="K511" s="229">
        <v>9.42</v>
      </c>
      <c r="L511" s="230">
        <v>9.24</v>
      </c>
      <c r="N511" s="248" t="s">
        <v>1065</v>
      </c>
      <c r="O511" s="253">
        <v>16.439638316848978</v>
      </c>
      <c r="P511" s="250">
        <v>3179711.1145000001</v>
      </c>
    </row>
    <row r="512" spans="6:16">
      <c r="F512" s="240"/>
      <c r="G512" s="235"/>
      <c r="H512" s="236" t="s">
        <v>528</v>
      </c>
      <c r="I512" s="239" t="s">
        <v>519</v>
      </c>
      <c r="J512" s="228" t="s">
        <v>550</v>
      </c>
      <c r="K512" s="229">
        <v>9.07</v>
      </c>
      <c r="L512" s="230">
        <v>8.36</v>
      </c>
      <c r="N512" s="248" t="s">
        <v>1066</v>
      </c>
      <c r="O512" s="253">
        <v>16.499848428598458</v>
      </c>
      <c r="P512" s="250">
        <v>3293405.4819500004</v>
      </c>
    </row>
    <row r="513" spans="6:16">
      <c r="F513" s="240"/>
      <c r="G513" s="235"/>
      <c r="H513" s="236" t="s">
        <v>530</v>
      </c>
      <c r="I513" s="239" t="s">
        <v>519</v>
      </c>
      <c r="J513" s="228" t="s">
        <v>551</v>
      </c>
      <c r="K513" s="229">
        <v>9.39</v>
      </c>
      <c r="L513" s="230">
        <v>9.2200000000000006</v>
      </c>
      <c r="N513" s="248" t="s">
        <v>1067</v>
      </c>
      <c r="O513" s="253">
        <v>16.342973667391338</v>
      </c>
      <c r="P513" s="250">
        <v>4201011.4674700005</v>
      </c>
    </row>
    <row r="514" spans="6:16">
      <c r="F514" s="240"/>
      <c r="G514" s="235"/>
      <c r="H514" s="236" t="s">
        <v>532</v>
      </c>
      <c r="I514" s="239" t="s">
        <v>519</v>
      </c>
      <c r="J514" s="228" t="s">
        <v>552</v>
      </c>
      <c r="K514" s="229">
        <v>9.3800000000000008</v>
      </c>
      <c r="L514" s="230">
        <v>9.84</v>
      </c>
      <c r="N514" s="248" t="s">
        <v>1068</v>
      </c>
      <c r="O514" s="253">
        <v>16.193245983768566</v>
      </c>
      <c r="P514" s="250">
        <v>2896132.3726900001</v>
      </c>
    </row>
    <row r="515" spans="6:16">
      <c r="F515" s="240"/>
      <c r="G515" s="235" t="s">
        <v>554</v>
      </c>
      <c r="H515" s="236" t="s">
        <v>534</v>
      </c>
      <c r="I515" s="239" t="s">
        <v>519</v>
      </c>
      <c r="J515" s="228" t="s">
        <v>545</v>
      </c>
      <c r="K515" s="229">
        <v>9.67</v>
      </c>
      <c r="L515" s="230">
        <v>9.41</v>
      </c>
      <c r="N515" s="248" t="s">
        <v>1069</v>
      </c>
      <c r="O515" s="253">
        <v>16.354538946959526</v>
      </c>
      <c r="P515" s="250">
        <v>3333037.3243300002</v>
      </c>
    </row>
    <row r="516" spans="6:16">
      <c r="F516" s="240"/>
      <c r="G516" s="235"/>
      <c r="H516" s="236" t="s">
        <v>518</v>
      </c>
      <c r="I516" s="239" t="s">
        <v>519</v>
      </c>
      <c r="J516" s="228" t="s">
        <v>520</v>
      </c>
      <c r="K516" s="229">
        <v>10.039999999999999</v>
      </c>
      <c r="L516" s="230">
        <v>9.14</v>
      </c>
      <c r="N516" s="248" t="s">
        <v>1070</v>
      </c>
      <c r="O516" s="253">
        <v>16.549266134325681</v>
      </c>
      <c r="P516" s="250">
        <v>2805948.7675100002</v>
      </c>
    </row>
    <row r="517" spans="6:16">
      <c r="F517" s="240"/>
      <c r="G517" s="235"/>
      <c r="H517" s="236" t="s">
        <v>521</v>
      </c>
      <c r="I517" s="239" t="s">
        <v>519</v>
      </c>
      <c r="J517" s="228" t="s">
        <v>522</v>
      </c>
      <c r="K517" s="229">
        <v>9.8699999999999992</v>
      </c>
      <c r="L517" s="230">
        <v>9.94</v>
      </c>
      <c r="N517" s="248" t="s">
        <v>1071</v>
      </c>
      <c r="O517" s="253">
        <v>17.090917967893613</v>
      </c>
      <c r="P517" s="250">
        <v>3990028.7918099998</v>
      </c>
    </row>
    <row r="518" spans="6:16">
      <c r="F518" s="240"/>
      <c r="G518" s="235"/>
      <c r="H518" s="236" t="s">
        <v>540</v>
      </c>
      <c r="I518" s="239" t="s">
        <v>519</v>
      </c>
      <c r="J518" s="228" t="s">
        <v>523</v>
      </c>
      <c r="K518" s="229">
        <v>9.82</v>
      </c>
      <c r="L518" s="230">
        <v>10.220000000000001</v>
      </c>
      <c r="N518" s="248" t="s">
        <v>1072</v>
      </c>
      <c r="O518" s="253">
        <v>16.464390057781348</v>
      </c>
      <c r="P518" s="250">
        <v>3357869.3700100002</v>
      </c>
    </row>
    <row r="519" spans="6:16">
      <c r="F519" s="240"/>
      <c r="G519" s="235"/>
      <c r="H519" s="236" t="s">
        <v>524</v>
      </c>
      <c r="I519" s="239" t="s">
        <v>519</v>
      </c>
      <c r="J519" s="228" t="s">
        <v>525</v>
      </c>
      <c r="K519" s="229">
        <v>9.69</v>
      </c>
      <c r="L519" s="230">
        <v>10.56</v>
      </c>
      <c r="N519" s="248" t="s">
        <v>1073</v>
      </c>
      <c r="O519" s="253">
        <v>16.55091995289159</v>
      </c>
      <c r="P519" s="250">
        <v>3235662.5735800001</v>
      </c>
    </row>
    <row r="520" spans="6:16">
      <c r="F520" s="240"/>
      <c r="G520" s="235" t="s">
        <v>556</v>
      </c>
      <c r="H520" s="236" t="s">
        <v>527</v>
      </c>
      <c r="I520" s="239" t="s">
        <v>519</v>
      </c>
      <c r="J520" s="228" t="s">
        <v>528</v>
      </c>
      <c r="K520" s="229">
        <v>9.77</v>
      </c>
      <c r="L520" s="230">
        <v>10.76</v>
      </c>
      <c r="N520" s="248" t="s">
        <v>1074</v>
      </c>
      <c r="O520" s="253">
        <v>16.545813674323384</v>
      </c>
      <c r="P520" s="250">
        <v>3668845.3003599998</v>
      </c>
    </row>
    <row r="521" spans="6:16">
      <c r="F521" s="240"/>
      <c r="G521" s="235"/>
      <c r="H521" s="236" t="s">
        <v>529</v>
      </c>
      <c r="I521" s="239" t="s">
        <v>519</v>
      </c>
      <c r="J521" s="228" t="s">
        <v>530</v>
      </c>
      <c r="K521" s="229">
        <v>9.9600000000000009</v>
      </c>
      <c r="L521" s="230">
        <v>10.48</v>
      </c>
      <c r="N521" s="248" t="s">
        <v>1075</v>
      </c>
      <c r="O521" s="253">
        <v>16.629781710583885</v>
      </c>
      <c r="P521" s="250">
        <v>3595573.28425</v>
      </c>
    </row>
    <row r="522" spans="6:16">
      <c r="F522" s="240"/>
      <c r="G522" s="235"/>
      <c r="H522" s="236" t="s">
        <v>531</v>
      </c>
      <c r="I522" s="239" t="s">
        <v>519</v>
      </c>
      <c r="J522" s="228" t="s">
        <v>532</v>
      </c>
      <c r="K522" s="229">
        <v>10.28</v>
      </c>
      <c r="L522" s="230">
        <v>10.24</v>
      </c>
      <c r="N522" s="248" t="s">
        <v>1076</v>
      </c>
      <c r="O522" s="253">
        <v>16.069187158301975</v>
      </c>
      <c r="P522" s="250">
        <v>4680906.7358600004</v>
      </c>
    </row>
    <row r="523" spans="6:16">
      <c r="F523" s="240"/>
      <c r="G523" s="235"/>
      <c r="H523" s="236" t="s">
        <v>533</v>
      </c>
      <c r="I523" s="239" t="s">
        <v>519</v>
      </c>
      <c r="J523" s="228" t="s">
        <v>534</v>
      </c>
      <c r="K523" s="229">
        <v>10.08</v>
      </c>
      <c r="L523" s="230">
        <v>10.78</v>
      </c>
      <c r="N523" s="248" t="s">
        <v>1077</v>
      </c>
      <c r="O523" s="253">
        <v>15.792170197651272</v>
      </c>
      <c r="P523" s="250">
        <v>4326312.9445600007</v>
      </c>
    </row>
    <row r="524" spans="6:16">
      <c r="F524" s="240"/>
      <c r="G524" s="235" t="s">
        <v>558</v>
      </c>
      <c r="H524" s="236" t="s">
        <v>536</v>
      </c>
      <c r="I524" s="239" t="s">
        <v>519</v>
      </c>
      <c r="J524" s="228" t="s">
        <v>538</v>
      </c>
      <c r="K524" s="229">
        <v>10.130000000000001</v>
      </c>
      <c r="L524" s="230">
        <v>10.82</v>
      </c>
      <c r="N524" s="248" t="s">
        <v>1078</v>
      </c>
      <c r="O524" s="253">
        <v>16.339658477486637</v>
      </c>
      <c r="P524" s="250">
        <v>3457457.5043700002</v>
      </c>
    </row>
    <row r="525" spans="6:16">
      <c r="F525" s="240"/>
      <c r="G525" s="235"/>
      <c r="H525" s="236" t="s">
        <v>549</v>
      </c>
      <c r="I525" s="239" t="s">
        <v>519</v>
      </c>
      <c r="J525" s="228" t="s">
        <v>539</v>
      </c>
      <c r="K525" s="229">
        <v>10.3</v>
      </c>
      <c r="L525" s="230">
        <v>10</v>
      </c>
      <c r="N525" s="248" t="s">
        <v>1079</v>
      </c>
      <c r="O525" s="253">
        <v>16.731322048827927</v>
      </c>
      <c r="P525" s="250">
        <v>3836994.0846600002</v>
      </c>
    </row>
    <row r="526" spans="6:16">
      <c r="F526" s="240"/>
      <c r="G526" s="235"/>
      <c r="H526" s="236" t="s">
        <v>550</v>
      </c>
      <c r="I526" s="239" t="s">
        <v>519</v>
      </c>
      <c r="J526" s="228" t="s">
        <v>541</v>
      </c>
      <c r="K526" s="229">
        <v>10.02</v>
      </c>
      <c r="L526" s="230">
        <v>9.3800000000000008</v>
      </c>
      <c r="N526" s="248" t="s">
        <v>1080</v>
      </c>
      <c r="O526" s="253">
        <v>17.385205852664686</v>
      </c>
      <c r="P526" s="250">
        <v>4204671.9539400004</v>
      </c>
    </row>
    <row r="527" spans="6:16">
      <c r="F527" s="240"/>
      <c r="G527" s="235"/>
      <c r="H527" s="236" t="s">
        <v>551</v>
      </c>
      <c r="I527" s="239" t="s">
        <v>519</v>
      </c>
      <c r="J527" s="228" t="s">
        <v>542</v>
      </c>
      <c r="K527" s="229">
        <v>9.8800000000000008</v>
      </c>
      <c r="L527" s="230">
        <v>9.11</v>
      </c>
      <c r="N527" s="248" t="s">
        <v>1081</v>
      </c>
      <c r="O527" s="253">
        <v>16.964699091654605</v>
      </c>
      <c r="P527" s="250">
        <v>2931987.2980699996</v>
      </c>
    </row>
    <row r="528" spans="6:16">
      <c r="F528" s="240"/>
      <c r="G528" s="235" t="s">
        <v>559</v>
      </c>
      <c r="H528" s="236" t="s">
        <v>552</v>
      </c>
      <c r="I528" s="239" t="s">
        <v>519</v>
      </c>
      <c r="J528" s="228" t="s">
        <v>543</v>
      </c>
      <c r="K528" s="229">
        <v>10.54</v>
      </c>
      <c r="L528" s="230">
        <v>9.93</v>
      </c>
      <c r="N528" s="248" t="s">
        <v>1082</v>
      </c>
      <c r="O528" s="253">
        <v>16.935206293566974</v>
      </c>
      <c r="P528" s="250">
        <v>3635341.5120499996</v>
      </c>
    </row>
    <row r="529" spans="6:16">
      <c r="F529" s="240"/>
      <c r="G529" s="235"/>
      <c r="H529" s="236" t="s">
        <v>545</v>
      </c>
      <c r="I529" s="239" t="s">
        <v>519</v>
      </c>
      <c r="J529" s="228" t="s">
        <v>546</v>
      </c>
      <c r="K529" s="229">
        <v>10.1</v>
      </c>
      <c r="L529" s="230">
        <v>10.35</v>
      </c>
      <c r="N529" s="248" t="s">
        <v>1083</v>
      </c>
      <c r="O529" s="253">
        <v>17.477557622120806</v>
      </c>
      <c r="P529" s="250">
        <v>2846147.15649</v>
      </c>
    </row>
    <row r="530" spans="6:16">
      <c r="F530" s="240"/>
      <c r="G530" s="235"/>
      <c r="H530" s="236" t="s">
        <v>520</v>
      </c>
      <c r="I530" s="239" t="s">
        <v>519</v>
      </c>
      <c r="J530" s="228" t="s">
        <v>547</v>
      </c>
      <c r="K530" s="229">
        <v>10.3</v>
      </c>
      <c r="L530" s="230">
        <v>9.9</v>
      </c>
      <c r="N530" s="248" t="s">
        <v>1084</v>
      </c>
      <c r="O530" s="253">
        <v>17.64637313921471</v>
      </c>
      <c r="P530" s="250">
        <v>4210292.8389300006</v>
      </c>
    </row>
    <row r="531" spans="6:16">
      <c r="F531" s="240"/>
      <c r="G531" s="235"/>
      <c r="H531" s="236" t="s">
        <v>522</v>
      </c>
      <c r="I531" s="239" t="s">
        <v>519</v>
      </c>
      <c r="J531" s="228" t="s">
        <v>555</v>
      </c>
      <c r="K531" s="229">
        <v>10.130000000000001</v>
      </c>
      <c r="L531" s="230">
        <v>10.25</v>
      </c>
      <c r="N531" s="248" t="s">
        <v>1085</v>
      </c>
      <c r="O531" s="253">
        <v>17.431392157481419</v>
      </c>
      <c r="P531" s="250">
        <v>3681320.5000700005</v>
      </c>
    </row>
    <row r="532" spans="6:16">
      <c r="F532" s="240"/>
      <c r="G532" s="235"/>
      <c r="H532" s="236" t="s">
        <v>523</v>
      </c>
      <c r="I532" s="239" t="s">
        <v>519</v>
      </c>
      <c r="J532" s="228" t="s">
        <v>557</v>
      </c>
      <c r="K532" s="229">
        <v>10.39</v>
      </c>
      <c r="L532" s="230">
        <v>10.34</v>
      </c>
      <c r="N532" s="248" t="s">
        <v>1086</v>
      </c>
      <c r="O532" s="253">
        <v>17.116602062357536</v>
      </c>
      <c r="P532" s="250">
        <v>4051272.28981</v>
      </c>
    </row>
    <row r="533" spans="6:16">
      <c r="F533" s="240"/>
      <c r="G533" s="235" t="s">
        <v>560</v>
      </c>
      <c r="H533" s="236" t="s">
        <v>527</v>
      </c>
      <c r="I533" s="239" t="s">
        <v>519</v>
      </c>
      <c r="J533" s="228" t="s">
        <v>528</v>
      </c>
      <c r="K533" s="229">
        <v>9.9600000000000009</v>
      </c>
      <c r="L533" s="230">
        <v>10.64</v>
      </c>
      <c r="N533" s="248" t="s">
        <v>1087</v>
      </c>
      <c r="O533" s="253">
        <v>17.346297745700337</v>
      </c>
      <c r="P533" s="250">
        <v>4986064.0891500004</v>
      </c>
    </row>
    <row r="534" spans="6:16">
      <c r="F534" s="240"/>
      <c r="G534" s="235"/>
      <c r="H534" s="236" t="s">
        <v>529</v>
      </c>
      <c r="I534" s="239" t="s">
        <v>519</v>
      </c>
      <c r="J534" s="228" t="s">
        <v>530</v>
      </c>
      <c r="K534" s="229">
        <v>10.35</v>
      </c>
      <c r="L534" s="230">
        <v>11.11</v>
      </c>
      <c r="N534" s="248" t="s">
        <v>1088</v>
      </c>
      <c r="O534" s="253">
        <v>17.581490758677351</v>
      </c>
      <c r="P534" s="250">
        <v>3216635.0618799999</v>
      </c>
    </row>
    <row r="535" spans="6:16" ht="15.75" thickBot="1">
      <c r="F535" s="240"/>
      <c r="G535" s="235"/>
      <c r="H535" s="236" t="s">
        <v>531</v>
      </c>
      <c r="I535" s="239" t="s">
        <v>519</v>
      </c>
      <c r="J535" s="228" t="s">
        <v>532</v>
      </c>
      <c r="K535" s="229">
        <v>10.54</v>
      </c>
      <c r="L535" s="230">
        <v>11.26</v>
      </c>
      <c r="N535" s="248" t="s">
        <v>1089</v>
      </c>
      <c r="O535" s="253">
        <v>17.481453981616724</v>
      </c>
      <c r="P535" s="250">
        <v>2581743.1400600001</v>
      </c>
    </row>
    <row r="536" spans="6:16" ht="16.5" thickBot="1">
      <c r="F536" s="240"/>
      <c r="G536" s="235"/>
      <c r="H536" s="236" t="s">
        <v>533</v>
      </c>
      <c r="I536" s="239" t="s">
        <v>519</v>
      </c>
      <c r="J536" s="228" t="s">
        <v>534</v>
      </c>
      <c r="K536" s="229">
        <v>10.58</v>
      </c>
      <c r="L536" s="230">
        <v>10.92</v>
      </c>
      <c r="N536" s="258" t="s">
        <v>561</v>
      </c>
      <c r="O536" s="259">
        <f>AVERAGE(O483:O535)</f>
        <v>16.362932953103588</v>
      </c>
      <c r="P536" s="250"/>
    </row>
    <row r="537" spans="6:16" ht="15.75" thickBot="1">
      <c r="F537" s="640" t="s">
        <v>561</v>
      </c>
      <c r="G537" s="641"/>
      <c r="H537" s="641"/>
      <c r="I537" s="641"/>
      <c r="J537" s="641"/>
      <c r="K537" s="642"/>
      <c r="L537" s="234">
        <f>AVERAGE(L485:L536)</f>
        <v>9.7471153846153857</v>
      </c>
      <c r="N537" s="248" t="s">
        <v>1090</v>
      </c>
      <c r="O537" s="253">
        <v>16.879255575913785</v>
      </c>
      <c r="P537" s="250">
        <v>2393890.6450900002</v>
      </c>
    </row>
    <row r="538" spans="6:16">
      <c r="F538" s="240">
        <v>2009</v>
      </c>
      <c r="G538" s="235" t="s">
        <v>517</v>
      </c>
      <c r="H538" s="236" t="s">
        <v>536</v>
      </c>
      <c r="I538" s="239" t="s">
        <v>519</v>
      </c>
      <c r="J538" s="228" t="s">
        <v>518</v>
      </c>
      <c r="K538" s="229">
        <v>10.09</v>
      </c>
      <c r="L538" s="230">
        <v>10.92</v>
      </c>
      <c r="N538" s="248" t="s">
        <v>1091</v>
      </c>
      <c r="O538" s="253">
        <v>16.475225168812482</v>
      </c>
      <c r="P538" s="250">
        <v>2748026.4861899996</v>
      </c>
    </row>
    <row r="539" spans="6:16">
      <c r="F539" s="240"/>
      <c r="G539" s="235"/>
      <c r="H539" s="236" t="s">
        <v>538</v>
      </c>
      <c r="I539" s="239" t="s">
        <v>519</v>
      </c>
      <c r="J539" s="228" t="s">
        <v>521</v>
      </c>
      <c r="K539" s="229">
        <v>10.16</v>
      </c>
      <c r="L539" s="230">
        <v>10.65</v>
      </c>
      <c r="N539" s="248" t="s">
        <v>1092</v>
      </c>
      <c r="O539" s="253">
        <v>17.057588632347006</v>
      </c>
      <c r="P539" s="250">
        <v>2955113.2425100002</v>
      </c>
    </row>
    <row r="540" spans="6:16">
      <c r="F540" s="240"/>
      <c r="G540" s="235"/>
      <c r="H540" s="236" t="s">
        <v>539</v>
      </c>
      <c r="I540" s="239" t="s">
        <v>519</v>
      </c>
      <c r="J540" s="228" t="s">
        <v>540</v>
      </c>
      <c r="K540" s="229">
        <v>10.02</v>
      </c>
      <c r="L540" s="230">
        <v>10.33</v>
      </c>
      <c r="N540" s="248" t="s">
        <v>1093</v>
      </c>
      <c r="O540" s="253">
        <v>16.974341232463455</v>
      </c>
      <c r="P540" s="250">
        <v>3826812.1998000001</v>
      </c>
    </row>
    <row r="541" spans="6:16">
      <c r="F541" s="240"/>
      <c r="G541" s="235"/>
      <c r="H541" s="236" t="s">
        <v>541</v>
      </c>
      <c r="I541" s="239" t="s">
        <v>519</v>
      </c>
      <c r="J541" s="228" t="s">
        <v>524</v>
      </c>
      <c r="K541" s="229">
        <v>10.11</v>
      </c>
      <c r="L541" s="230">
        <v>10.43</v>
      </c>
      <c r="N541" s="248" t="s">
        <v>1094</v>
      </c>
      <c r="O541" s="253">
        <v>16.501317612100785</v>
      </c>
      <c r="P541" s="250">
        <v>3165204.9699499998</v>
      </c>
    </row>
    <row r="542" spans="6:16">
      <c r="F542" s="240"/>
      <c r="G542" s="235" t="s">
        <v>526</v>
      </c>
      <c r="H542" s="236" t="s">
        <v>542</v>
      </c>
      <c r="I542" s="239" t="s">
        <v>519</v>
      </c>
      <c r="J542" s="228" t="s">
        <v>527</v>
      </c>
      <c r="K542" s="229">
        <v>9.98</v>
      </c>
      <c r="L542" s="230">
        <v>10.53</v>
      </c>
      <c r="N542" s="248" t="s">
        <v>1095</v>
      </c>
      <c r="O542" s="253">
        <v>16.270968660368897</v>
      </c>
      <c r="P542" s="250">
        <v>3772185.8304999997</v>
      </c>
    </row>
    <row r="543" spans="6:16">
      <c r="F543" s="240"/>
      <c r="G543" s="235"/>
      <c r="H543" s="236" t="s">
        <v>543</v>
      </c>
      <c r="I543" s="239" t="s">
        <v>519</v>
      </c>
      <c r="J543" s="228" t="s">
        <v>529</v>
      </c>
      <c r="K543" s="229">
        <v>10.06</v>
      </c>
      <c r="L543" s="230">
        <v>10.28</v>
      </c>
      <c r="N543" s="248" t="s">
        <v>1096</v>
      </c>
      <c r="O543" s="253">
        <v>16.198164011067206</v>
      </c>
      <c r="P543" s="250">
        <v>3673864.4185500001</v>
      </c>
    </row>
    <row r="544" spans="6:16">
      <c r="F544" s="240"/>
      <c r="G544" s="235"/>
      <c r="H544" s="236" t="s">
        <v>546</v>
      </c>
      <c r="I544" s="239" t="s">
        <v>519</v>
      </c>
      <c r="J544" s="228" t="s">
        <v>531</v>
      </c>
      <c r="K544" s="229">
        <v>9.7100000000000009</v>
      </c>
      <c r="L544" s="230">
        <v>10.050000000000001</v>
      </c>
      <c r="N544" s="248" t="s">
        <v>1097</v>
      </c>
      <c r="O544" s="253">
        <v>16.415112804612306</v>
      </c>
      <c r="P544" s="250">
        <v>4110719.9626199999</v>
      </c>
    </row>
    <row r="545" spans="6:16">
      <c r="F545" s="240"/>
      <c r="G545" s="235"/>
      <c r="H545" s="236" t="s">
        <v>547</v>
      </c>
      <c r="I545" s="239" t="s">
        <v>519</v>
      </c>
      <c r="J545" s="228" t="s">
        <v>533</v>
      </c>
      <c r="K545" s="229">
        <v>9.6</v>
      </c>
      <c r="L545" s="230">
        <v>9.81</v>
      </c>
      <c r="N545" s="248" t="s">
        <v>1098</v>
      </c>
      <c r="O545" s="253">
        <v>15.637204139452839</v>
      </c>
      <c r="P545" s="250">
        <v>3507335.0005299998</v>
      </c>
    </row>
    <row r="546" spans="6:16">
      <c r="F546" s="240"/>
      <c r="G546" s="235" t="s">
        <v>535</v>
      </c>
      <c r="H546" s="236" t="s">
        <v>555</v>
      </c>
      <c r="I546" s="239" t="s">
        <v>519</v>
      </c>
      <c r="J546" s="228" t="s">
        <v>527</v>
      </c>
      <c r="K546" s="229">
        <v>9.5</v>
      </c>
      <c r="L546" s="230">
        <v>9.58</v>
      </c>
      <c r="N546" s="248" t="s">
        <v>1099</v>
      </c>
      <c r="O546" s="253">
        <v>15.583977430937788</v>
      </c>
      <c r="P546" s="250">
        <v>3769678.51835</v>
      </c>
    </row>
    <row r="547" spans="6:16">
      <c r="F547" s="240"/>
      <c r="G547" s="235"/>
      <c r="H547" s="236" t="s">
        <v>543</v>
      </c>
      <c r="I547" s="239" t="s">
        <v>519</v>
      </c>
      <c r="J547" s="228" t="s">
        <v>529</v>
      </c>
      <c r="K547" s="229">
        <v>9.34</v>
      </c>
      <c r="L547" s="230">
        <v>9.65</v>
      </c>
      <c r="N547" s="248" t="s">
        <v>1100</v>
      </c>
      <c r="O547" s="253">
        <v>15.422718956446193</v>
      </c>
      <c r="P547" s="250">
        <v>3678692.6682600002</v>
      </c>
    </row>
    <row r="548" spans="6:16">
      <c r="F548" s="240"/>
      <c r="G548" s="235"/>
      <c r="H548" s="236" t="s">
        <v>546</v>
      </c>
      <c r="I548" s="239" t="s">
        <v>519</v>
      </c>
      <c r="J548" s="228" t="s">
        <v>531</v>
      </c>
      <c r="K548" s="229">
        <v>9.14</v>
      </c>
      <c r="L548" s="230">
        <v>9.11</v>
      </c>
      <c r="N548" s="248" t="s">
        <v>1101</v>
      </c>
      <c r="O548" s="253">
        <v>14.849830250099551</v>
      </c>
      <c r="P548" s="250">
        <v>3408426.3157899999</v>
      </c>
    </row>
    <row r="549" spans="6:16">
      <c r="F549" s="240"/>
      <c r="G549" s="235"/>
      <c r="H549" s="236" t="s">
        <v>547</v>
      </c>
      <c r="I549" s="239" t="s">
        <v>519</v>
      </c>
      <c r="J549" s="228" t="s">
        <v>533</v>
      </c>
      <c r="K549" s="229">
        <v>8.8699999999999992</v>
      </c>
      <c r="L549" s="230">
        <v>8.69</v>
      </c>
      <c r="N549" s="248" t="s">
        <v>1102</v>
      </c>
      <c r="O549" s="253">
        <v>14.633885191856431</v>
      </c>
      <c r="P549" s="250">
        <v>5085564.2442500005</v>
      </c>
    </row>
    <row r="550" spans="6:16">
      <c r="F550" s="240"/>
      <c r="G550" s="235"/>
      <c r="H550" s="236" t="s">
        <v>555</v>
      </c>
      <c r="I550" s="239" t="s">
        <v>519</v>
      </c>
      <c r="J550" s="228" t="s">
        <v>536</v>
      </c>
      <c r="K550" s="229">
        <v>8.9</v>
      </c>
      <c r="L550" s="230">
        <v>8.94</v>
      </c>
      <c r="N550" s="248" t="s">
        <v>1103</v>
      </c>
      <c r="O550" s="253">
        <v>14.539688825999232</v>
      </c>
      <c r="P550" s="250">
        <v>2218835.2619899996</v>
      </c>
    </row>
    <row r="551" spans="6:16">
      <c r="F551" s="240"/>
      <c r="G551" s="235" t="s">
        <v>537</v>
      </c>
      <c r="H551" s="236" t="s">
        <v>557</v>
      </c>
      <c r="I551" s="239" t="s">
        <v>519</v>
      </c>
      <c r="J551" s="228" t="s">
        <v>538</v>
      </c>
      <c r="K551" s="229">
        <v>8.06</v>
      </c>
      <c r="L551" s="230">
        <v>8.4600000000000009</v>
      </c>
      <c r="N551" s="248" t="s">
        <v>1104</v>
      </c>
      <c r="O551" s="253">
        <v>13.774344754439193</v>
      </c>
      <c r="P551" s="250">
        <v>4220425.6426299997</v>
      </c>
    </row>
    <row r="552" spans="6:16">
      <c r="F552" s="240"/>
      <c r="G552" s="235"/>
      <c r="H552" s="236" t="s">
        <v>549</v>
      </c>
      <c r="I552" s="239" t="s">
        <v>519</v>
      </c>
      <c r="J552" s="228" t="s">
        <v>539</v>
      </c>
      <c r="K552" s="229">
        <v>7.78</v>
      </c>
      <c r="L552" s="230">
        <v>8.41</v>
      </c>
      <c r="N552" s="248" t="s">
        <v>1105</v>
      </c>
      <c r="O552" s="253">
        <v>13.647568369103984</v>
      </c>
      <c r="P552" s="250">
        <v>4206380.9141600002</v>
      </c>
    </row>
    <row r="553" spans="6:16">
      <c r="F553" s="240"/>
      <c r="G553" s="235"/>
      <c r="H553" s="236" t="s">
        <v>550</v>
      </c>
      <c r="I553" s="239" t="s">
        <v>519</v>
      </c>
      <c r="J553" s="228" t="s">
        <v>541</v>
      </c>
      <c r="K553" s="229">
        <v>7.6</v>
      </c>
      <c r="L553" s="230">
        <v>7.51</v>
      </c>
      <c r="N553" s="248" t="s">
        <v>1106</v>
      </c>
      <c r="O553" s="253">
        <v>14.028226485901559</v>
      </c>
      <c r="P553" s="250">
        <v>4015537.8749500001</v>
      </c>
    </row>
    <row r="554" spans="6:16">
      <c r="F554" s="240"/>
      <c r="G554" s="235"/>
      <c r="H554" s="236" t="s">
        <v>551</v>
      </c>
      <c r="I554" s="239" t="s">
        <v>519</v>
      </c>
      <c r="J554" s="228" t="s">
        <v>542</v>
      </c>
      <c r="K554" s="229">
        <v>7.59</v>
      </c>
      <c r="L554" s="230">
        <v>7.92</v>
      </c>
      <c r="N554" s="248" t="s">
        <v>1107</v>
      </c>
      <c r="O554" s="253">
        <v>12.966259931905098</v>
      </c>
      <c r="P554" s="250">
        <v>4436860.10329</v>
      </c>
    </row>
    <row r="555" spans="6:16">
      <c r="F555" s="240"/>
      <c r="G555" s="235" t="s">
        <v>544</v>
      </c>
      <c r="H555" s="236" t="s">
        <v>552</v>
      </c>
      <c r="I555" s="239" t="s">
        <v>519</v>
      </c>
      <c r="J555" s="228" t="s">
        <v>545</v>
      </c>
      <c r="K555" s="229">
        <v>7.46</v>
      </c>
      <c r="L555" s="230">
        <v>7.71</v>
      </c>
      <c r="N555" s="248" t="s">
        <v>1108</v>
      </c>
      <c r="O555" s="253">
        <v>13.20439772771517</v>
      </c>
      <c r="P555" s="250">
        <v>3963759.6297399998</v>
      </c>
    </row>
    <row r="556" spans="6:16">
      <c r="F556" s="240"/>
      <c r="G556" s="235"/>
      <c r="H556" s="236" t="s">
        <v>518</v>
      </c>
      <c r="I556" s="239" t="s">
        <v>519</v>
      </c>
      <c r="J556" s="228" t="s">
        <v>520</v>
      </c>
      <c r="K556" s="229">
        <v>7.41</v>
      </c>
      <c r="L556" s="230">
        <v>7.71</v>
      </c>
      <c r="N556" s="248" t="s">
        <v>1109</v>
      </c>
      <c r="O556" s="253">
        <v>12.572795481238778</v>
      </c>
      <c r="P556" s="250">
        <v>4439423.1088699996</v>
      </c>
    </row>
    <row r="557" spans="6:16">
      <c r="F557" s="240"/>
      <c r="G557" s="235"/>
      <c r="H557" s="236" t="s">
        <v>521</v>
      </c>
      <c r="I557" s="239" t="s">
        <v>519</v>
      </c>
      <c r="J557" s="228" t="s">
        <v>522</v>
      </c>
      <c r="K557" s="229">
        <v>7.44</v>
      </c>
      <c r="L557" s="230">
        <v>8.43</v>
      </c>
      <c r="N557" s="248" t="s">
        <v>1110</v>
      </c>
      <c r="O557" s="253">
        <v>12.164922069126519</v>
      </c>
      <c r="P557" s="250">
        <v>6159493.5037199995</v>
      </c>
    </row>
    <row r="558" spans="6:16">
      <c r="F558" s="240"/>
      <c r="G558" s="235"/>
      <c r="H558" s="236" t="s">
        <v>540</v>
      </c>
      <c r="I558" s="239" t="s">
        <v>519</v>
      </c>
      <c r="J558" s="228" t="s">
        <v>523</v>
      </c>
      <c r="K558" s="229">
        <v>6.91</v>
      </c>
      <c r="L558" s="230">
        <v>7.25</v>
      </c>
      <c r="N558" s="248" t="s">
        <v>1111</v>
      </c>
      <c r="O558" s="253">
        <v>12.006749600700006</v>
      </c>
      <c r="P558" s="250">
        <v>4379741.8083800003</v>
      </c>
    </row>
    <row r="559" spans="6:16">
      <c r="F559" s="240"/>
      <c r="G559" s="235"/>
      <c r="H559" s="236" t="s">
        <v>524</v>
      </c>
      <c r="I559" s="239" t="s">
        <v>519</v>
      </c>
      <c r="J559" s="228" t="s">
        <v>525</v>
      </c>
      <c r="K559" s="229">
        <v>6.75</v>
      </c>
      <c r="L559" s="230">
        <v>7.21</v>
      </c>
      <c r="N559" s="248" t="s">
        <v>1112</v>
      </c>
      <c r="O559" s="253">
        <v>11.7931600103222</v>
      </c>
      <c r="P559" s="250">
        <v>4406488.8689899994</v>
      </c>
    </row>
    <row r="560" spans="6:16">
      <c r="F560" s="240"/>
      <c r="G560" s="235" t="s">
        <v>548</v>
      </c>
      <c r="H560" s="236" t="s">
        <v>527</v>
      </c>
      <c r="I560" s="239" t="s">
        <v>519</v>
      </c>
      <c r="J560" s="228" t="s">
        <v>528</v>
      </c>
      <c r="K560" s="229">
        <v>6.81</v>
      </c>
      <c r="L560" s="230">
        <v>6.77</v>
      </c>
      <c r="N560" s="248" t="s">
        <v>1113</v>
      </c>
      <c r="O560" s="253">
        <v>11.454082326306047</v>
      </c>
      <c r="P560" s="250">
        <v>4420899.4090900002</v>
      </c>
    </row>
    <row r="561" spans="6:16">
      <c r="F561" s="240"/>
      <c r="G561" s="235"/>
      <c r="H561" s="236" t="s">
        <v>529</v>
      </c>
      <c r="I561" s="239" t="s">
        <v>519</v>
      </c>
      <c r="J561" s="228" t="s">
        <v>530</v>
      </c>
      <c r="K561" s="229">
        <v>6.46</v>
      </c>
      <c r="L561" s="230">
        <v>6.31</v>
      </c>
      <c r="N561" s="248" t="s">
        <v>1114</v>
      </c>
      <c r="O561" s="253">
        <v>11.889295802881797</v>
      </c>
      <c r="P561" s="250">
        <v>3984284.8273599995</v>
      </c>
    </row>
    <row r="562" spans="6:16">
      <c r="F562" s="240"/>
      <c r="G562" s="235"/>
      <c r="H562" s="236" t="s">
        <v>531</v>
      </c>
      <c r="I562" s="239" t="s">
        <v>519</v>
      </c>
      <c r="J562" s="228" t="s">
        <v>532</v>
      </c>
      <c r="K562" s="229">
        <v>6.23</v>
      </c>
      <c r="L562" s="230">
        <v>6.21</v>
      </c>
      <c r="N562" s="248" t="s">
        <v>1115</v>
      </c>
      <c r="O562" s="253">
        <v>11.466145262652152</v>
      </c>
      <c r="P562" s="250">
        <v>4320630.0198800005</v>
      </c>
    </row>
    <row r="563" spans="6:16">
      <c r="F563" s="240"/>
      <c r="G563" s="235"/>
      <c r="H563" s="236" t="s">
        <v>533</v>
      </c>
      <c r="I563" s="239" t="s">
        <v>519</v>
      </c>
      <c r="J563" s="228" t="s">
        <v>534</v>
      </c>
      <c r="K563" s="229">
        <v>6.04</v>
      </c>
      <c r="L563" s="230">
        <v>6.14</v>
      </c>
      <c r="N563" s="248" t="s">
        <v>1116</v>
      </c>
      <c r="O563" s="253">
        <v>11.198134087856166</v>
      </c>
      <c r="P563" s="250">
        <v>3842670.8664000002</v>
      </c>
    </row>
    <row r="564" spans="6:16">
      <c r="F564" s="240"/>
      <c r="G564" s="235" t="s">
        <v>553</v>
      </c>
      <c r="H564" s="236" t="s">
        <v>536</v>
      </c>
      <c r="I564" s="239" t="s">
        <v>519</v>
      </c>
      <c r="J564" s="228" t="s">
        <v>538</v>
      </c>
      <c r="K564" s="229">
        <v>6.07</v>
      </c>
      <c r="L564" s="230">
        <v>5.67</v>
      </c>
      <c r="N564" s="248" t="s">
        <v>1117</v>
      </c>
      <c r="O564" s="253">
        <v>11.106381004338985</v>
      </c>
      <c r="P564" s="250">
        <v>4204143.6340600001</v>
      </c>
    </row>
    <row r="565" spans="6:16">
      <c r="F565" s="240"/>
      <c r="G565" s="235"/>
      <c r="H565" s="236" t="s">
        <v>549</v>
      </c>
      <c r="I565" s="239" t="s">
        <v>519</v>
      </c>
      <c r="J565" s="228" t="s">
        <v>539</v>
      </c>
      <c r="K565" s="229">
        <v>5.79</v>
      </c>
      <c r="L565" s="230">
        <v>5.74</v>
      </c>
      <c r="N565" s="248" t="s">
        <v>1118</v>
      </c>
      <c r="O565" s="253">
        <v>11.010634170418324</v>
      </c>
      <c r="P565" s="250">
        <v>4050454.7098100004</v>
      </c>
    </row>
    <row r="566" spans="6:16">
      <c r="F566" s="240"/>
      <c r="G566" s="235"/>
      <c r="H566" s="236" t="s">
        <v>550</v>
      </c>
      <c r="I566" s="239" t="s">
        <v>519</v>
      </c>
      <c r="J566" s="228" t="s">
        <v>541</v>
      </c>
      <c r="K566" s="229">
        <v>5.77</v>
      </c>
      <c r="L566" s="230">
        <v>5.88</v>
      </c>
      <c r="N566" s="248" t="s">
        <v>1119</v>
      </c>
      <c r="O566" s="253">
        <v>11.843310889191061</v>
      </c>
      <c r="P566" s="250">
        <v>4994267.3518999992</v>
      </c>
    </row>
    <row r="567" spans="6:16">
      <c r="F567" s="240"/>
      <c r="G567" s="235"/>
      <c r="H567" s="236" t="s">
        <v>551</v>
      </c>
      <c r="I567" s="239" t="s">
        <v>519</v>
      </c>
      <c r="J567" s="228" t="s">
        <v>542</v>
      </c>
      <c r="K567" s="229">
        <v>5.6</v>
      </c>
      <c r="L567" s="230">
        <v>5.85</v>
      </c>
      <c r="N567" s="248" t="s">
        <v>1120</v>
      </c>
      <c r="O567" s="253">
        <v>10.405528593945244</v>
      </c>
      <c r="P567" s="250">
        <v>3444382.4429600001</v>
      </c>
    </row>
    <row r="568" spans="6:16">
      <c r="F568" s="240"/>
      <c r="G568" s="235" t="s">
        <v>554</v>
      </c>
      <c r="H568" s="236" t="s">
        <v>552</v>
      </c>
      <c r="I568" s="239" t="s">
        <v>519</v>
      </c>
      <c r="J568" s="228" t="s">
        <v>543</v>
      </c>
      <c r="K568" s="229">
        <v>5.51</v>
      </c>
      <c r="L568" s="230">
        <v>5.78</v>
      </c>
      <c r="N568" s="248" t="s">
        <v>1121</v>
      </c>
      <c r="O568" s="253">
        <v>10.511621987545741</v>
      </c>
      <c r="P568" s="250">
        <v>4562518.4198200004</v>
      </c>
    </row>
    <row r="569" spans="6:16">
      <c r="F569" s="240"/>
      <c r="G569" s="235"/>
      <c r="H569" s="236" t="s">
        <v>545</v>
      </c>
      <c r="I569" s="239" t="s">
        <v>519</v>
      </c>
      <c r="J569" s="228" t="s">
        <v>546</v>
      </c>
      <c r="K569" s="229">
        <v>5.66</v>
      </c>
      <c r="L569" s="230">
        <v>5.65</v>
      </c>
      <c r="N569" s="248" t="s">
        <v>1122</v>
      </c>
      <c r="O569" s="253">
        <v>10.703796084772739</v>
      </c>
      <c r="P569" s="250">
        <v>3718507.9428300005</v>
      </c>
    </row>
    <row r="570" spans="6:16">
      <c r="F570" s="240"/>
      <c r="G570" s="235"/>
      <c r="H570" s="236" t="s">
        <v>520</v>
      </c>
      <c r="I570" s="239" t="s">
        <v>519</v>
      </c>
      <c r="J570" s="228" t="s">
        <v>547</v>
      </c>
      <c r="K570" s="229">
        <v>5.54</v>
      </c>
      <c r="L570" s="230">
        <v>5.52</v>
      </c>
      <c r="N570" s="248" t="s">
        <v>1123</v>
      </c>
      <c r="O570" s="253">
        <v>11.503220935728649</v>
      </c>
      <c r="P570" s="250">
        <v>4795471.5601300001</v>
      </c>
    </row>
    <row r="571" spans="6:16">
      <c r="F571" s="240"/>
      <c r="G571" s="235"/>
      <c r="H571" s="236" t="s">
        <v>522</v>
      </c>
      <c r="I571" s="239" t="s">
        <v>519</v>
      </c>
      <c r="J571" s="228" t="s">
        <v>555</v>
      </c>
      <c r="K571" s="229">
        <v>5.43</v>
      </c>
      <c r="L571" s="230">
        <v>5.37</v>
      </c>
      <c r="N571" s="248" t="s">
        <v>1124</v>
      </c>
      <c r="O571" s="253">
        <v>11.38794177021432</v>
      </c>
      <c r="P571" s="250">
        <v>4177243.00226</v>
      </c>
    </row>
    <row r="572" spans="6:16">
      <c r="F572" s="240"/>
      <c r="G572" s="235"/>
      <c r="H572" s="236" t="s">
        <v>523</v>
      </c>
      <c r="I572" s="239" t="s">
        <v>519</v>
      </c>
      <c r="J572" s="228" t="s">
        <v>557</v>
      </c>
      <c r="K572" s="229">
        <v>5.46</v>
      </c>
      <c r="L572" s="230">
        <v>5.53</v>
      </c>
      <c r="N572" s="248" t="s">
        <v>1125</v>
      </c>
      <c r="O572" s="253">
        <v>10.721902293574933</v>
      </c>
      <c r="P572" s="250">
        <v>3920201.8274599998</v>
      </c>
    </row>
    <row r="573" spans="6:16">
      <c r="F573" s="240"/>
      <c r="G573" s="235" t="s">
        <v>556</v>
      </c>
      <c r="H573" s="236" t="s">
        <v>525</v>
      </c>
      <c r="I573" s="239" t="s">
        <v>519</v>
      </c>
      <c r="J573" s="228" t="s">
        <v>549</v>
      </c>
      <c r="K573" s="229">
        <v>5.45</v>
      </c>
      <c r="L573" s="230">
        <v>5.9</v>
      </c>
      <c r="N573" s="248" t="s">
        <v>1126</v>
      </c>
      <c r="O573" s="253">
        <v>10.883320058222973</v>
      </c>
      <c r="P573" s="250">
        <v>4020077.0467099994</v>
      </c>
    </row>
    <row r="574" spans="6:16">
      <c r="F574" s="240"/>
      <c r="G574" s="235"/>
      <c r="H574" s="236" t="s">
        <v>528</v>
      </c>
      <c r="I574" s="239" t="s">
        <v>519</v>
      </c>
      <c r="J574" s="228" t="s">
        <v>550</v>
      </c>
      <c r="K574" s="229">
        <v>5.37</v>
      </c>
      <c r="L574" s="230">
        <v>5.31</v>
      </c>
      <c r="N574" s="248" t="s">
        <v>1127</v>
      </c>
      <c r="O574" s="253">
        <v>10.78887649713108</v>
      </c>
      <c r="P574" s="250">
        <v>4296832.3838299997</v>
      </c>
    </row>
    <row r="575" spans="6:16">
      <c r="F575" s="240"/>
      <c r="G575" s="235"/>
      <c r="H575" s="236" t="s">
        <v>530</v>
      </c>
      <c r="I575" s="239" t="s">
        <v>519</v>
      </c>
      <c r="J575" s="228" t="s">
        <v>551</v>
      </c>
      <c r="K575" s="229">
        <v>5.4</v>
      </c>
      <c r="L575" s="230">
        <v>5.71</v>
      </c>
      <c r="N575" s="248" t="s">
        <v>1128</v>
      </c>
      <c r="O575" s="253">
        <v>10.597143438187146</v>
      </c>
      <c r="P575" s="250">
        <v>5542234.1261700001</v>
      </c>
    </row>
    <row r="576" spans="6:16">
      <c r="F576" s="240"/>
      <c r="G576" s="235"/>
      <c r="H576" s="236" t="s">
        <v>532</v>
      </c>
      <c r="I576" s="239" t="s">
        <v>519</v>
      </c>
      <c r="J576" s="228" t="s">
        <v>552</v>
      </c>
      <c r="K576" s="229">
        <v>5.25</v>
      </c>
      <c r="L576" s="230">
        <v>5.67</v>
      </c>
      <c r="N576" s="248" t="s">
        <v>1129</v>
      </c>
      <c r="O576" s="253">
        <v>10.383219013416156</v>
      </c>
      <c r="P576" s="250">
        <v>3741523.6199000003</v>
      </c>
    </row>
    <row r="577" spans="6:16">
      <c r="F577" s="240"/>
      <c r="G577" s="235" t="s">
        <v>558</v>
      </c>
      <c r="H577" s="236" t="s">
        <v>534</v>
      </c>
      <c r="I577" s="239" t="s">
        <v>519</v>
      </c>
      <c r="J577" s="228" t="s">
        <v>518</v>
      </c>
      <c r="K577" s="229">
        <v>5.34</v>
      </c>
      <c r="L577" s="230">
        <v>5.64</v>
      </c>
      <c r="N577" s="248" t="s">
        <v>1130</v>
      </c>
      <c r="O577" s="253">
        <v>10.104195059326944</v>
      </c>
      <c r="P577" s="250">
        <v>3556997.9554400002</v>
      </c>
    </row>
    <row r="578" spans="6:16">
      <c r="F578" s="240"/>
      <c r="G578" s="235"/>
      <c r="H578" s="236" t="s">
        <v>538</v>
      </c>
      <c r="I578" s="239" t="s">
        <v>519</v>
      </c>
      <c r="J578" s="228" t="s">
        <v>521</v>
      </c>
      <c r="K578" s="229">
        <v>5.12</v>
      </c>
      <c r="L578" s="230">
        <v>5.4</v>
      </c>
      <c r="N578" s="248" t="s">
        <v>1131</v>
      </c>
      <c r="O578" s="253">
        <v>10.506949214208985</v>
      </c>
      <c r="P578" s="250">
        <v>3979941.5211899998</v>
      </c>
    </row>
    <row r="579" spans="6:16">
      <c r="F579" s="240"/>
      <c r="G579" s="235"/>
      <c r="H579" s="236" t="s">
        <v>539</v>
      </c>
      <c r="I579" s="239" t="s">
        <v>519</v>
      </c>
      <c r="J579" s="228" t="s">
        <v>540</v>
      </c>
      <c r="K579" s="229">
        <v>5.0199999999999996</v>
      </c>
      <c r="L579" s="230">
        <v>5.0999999999999996</v>
      </c>
      <c r="N579" s="248" t="s">
        <v>1132</v>
      </c>
      <c r="O579" s="253">
        <v>10.760013450369852</v>
      </c>
      <c r="P579" s="250">
        <v>5175575.5266799992</v>
      </c>
    </row>
    <row r="580" spans="6:16">
      <c r="F580" s="240"/>
      <c r="G580" s="235"/>
      <c r="H580" s="236" t="s">
        <v>541</v>
      </c>
      <c r="I580" s="239" t="s">
        <v>519</v>
      </c>
      <c r="J580" s="228" t="s">
        <v>524</v>
      </c>
      <c r="K580" s="229">
        <v>5.0599999999999996</v>
      </c>
      <c r="L580" s="230">
        <v>5.35</v>
      </c>
      <c r="N580" s="248" t="s">
        <v>1133</v>
      </c>
      <c r="O580" s="253">
        <v>9.6944435582185626</v>
      </c>
      <c r="P580" s="250">
        <v>3829402.4005599995</v>
      </c>
    </row>
    <row r="581" spans="6:16">
      <c r="F581" s="240"/>
      <c r="G581" s="235" t="s">
        <v>559</v>
      </c>
      <c r="H581" s="236" t="s">
        <v>542</v>
      </c>
      <c r="I581" s="239" t="s">
        <v>519</v>
      </c>
      <c r="J581" s="228" t="s">
        <v>527</v>
      </c>
      <c r="K581" s="229">
        <v>4.95</v>
      </c>
      <c r="L581" s="230">
        <v>5.0999999999999996</v>
      </c>
      <c r="N581" s="248" t="s">
        <v>1134</v>
      </c>
      <c r="O581" s="253">
        <v>9.6788832896300683</v>
      </c>
      <c r="P581" s="250">
        <v>4228943.7712099999</v>
      </c>
    </row>
    <row r="582" spans="6:16">
      <c r="F582" s="240"/>
      <c r="G582" s="235"/>
      <c r="H582" s="236" t="s">
        <v>543</v>
      </c>
      <c r="I582" s="239" t="s">
        <v>519</v>
      </c>
      <c r="J582" s="228" t="s">
        <v>529</v>
      </c>
      <c r="K582" s="229">
        <v>4.88</v>
      </c>
      <c r="L582" s="230">
        <v>5</v>
      </c>
      <c r="N582" s="248" t="s">
        <v>1135</v>
      </c>
      <c r="O582" s="253">
        <v>9.3881124943940542</v>
      </c>
      <c r="P582" s="250">
        <v>4124056.9701700001</v>
      </c>
    </row>
    <row r="583" spans="6:16">
      <c r="F583" s="240"/>
      <c r="G583" s="235"/>
      <c r="H583" s="236" t="s">
        <v>546</v>
      </c>
      <c r="I583" s="239" t="s">
        <v>519</v>
      </c>
      <c r="J583" s="228" t="s">
        <v>531</v>
      </c>
      <c r="K583" s="229">
        <v>4.95</v>
      </c>
      <c r="L583" s="230">
        <v>4.9800000000000004</v>
      </c>
      <c r="N583" s="248" t="s">
        <v>1136</v>
      </c>
      <c r="O583" s="253">
        <v>10.174553673713019</v>
      </c>
      <c r="P583" s="250">
        <v>4613882.8032399993</v>
      </c>
    </row>
    <row r="584" spans="6:16">
      <c r="F584" s="240"/>
      <c r="G584" s="235"/>
      <c r="H584" s="236" t="s">
        <v>547</v>
      </c>
      <c r="I584" s="239" t="s">
        <v>519</v>
      </c>
      <c r="J584" s="228" t="s">
        <v>533</v>
      </c>
      <c r="K584" s="229">
        <v>4.87</v>
      </c>
      <c r="L584" s="230">
        <v>4.91</v>
      </c>
      <c r="N584" s="248" t="s">
        <v>1137</v>
      </c>
      <c r="O584" s="253">
        <v>9.5344777772825573</v>
      </c>
      <c r="P584" s="250">
        <v>5598097.2647900013</v>
      </c>
    </row>
    <row r="585" spans="6:16">
      <c r="F585" s="240"/>
      <c r="G585" s="235"/>
      <c r="H585" s="236" t="s">
        <v>555</v>
      </c>
      <c r="I585" s="239" t="s">
        <v>519</v>
      </c>
      <c r="J585" s="228" t="s">
        <v>536</v>
      </c>
      <c r="K585" s="229">
        <v>4.8</v>
      </c>
      <c r="L585" s="230">
        <v>5.17</v>
      </c>
      <c r="N585" s="248" t="s">
        <v>1138</v>
      </c>
      <c r="O585" s="253">
        <v>9.4242189929123548</v>
      </c>
      <c r="P585" s="250">
        <v>4010425.9079499999</v>
      </c>
    </row>
    <row r="586" spans="6:16">
      <c r="F586" s="240"/>
      <c r="G586" s="235" t="s">
        <v>560</v>
      </c>
      <c r="H586" s="236" t="s">
        <v>557</v>
      </c>
      <c r="I586" s="239" t="s">
        <v>519</v>
      </c>
      <c r="J586" s="228" t="s">
        <v>549</v>
      </c>
      <c r="K586" s="229">
        <v>4.6500000000000004</v>
      </c>
      <c r="L586" s="230">
        <v>4.84</v>
      </c>
      <c r="N586" s="248" t="s">
        <v>1139</v>
      </c>
      <c r="O586" s="253">
        <v>9.3246419208057159</v>
      </c>
      <c r="P586" s="250">
        <v>5721496.2055099998</v>
      </c>
    </row>
    <row r="587" spans="6:16">
      <c r="F587" s="240"/>
      <c r="G587" s="235"/>
      <c r="H587" s="236" t="s">
        <v>528</v>
      </c>
      <c r="I587" s="239" t="s">
        <v>519</v>
      </c>
      <c r="J587" s="228" t="s">
        <v>550</v>
      </c>
      <c r="K587" s="229">
        <v>4.6399999999999997</v>
      </c>
      <c r="L587" s="230">
        <v>4.82</v>
      </c>
      <c r="N587" s="248" t="s">
        <v>1140</v>
      </c>
      <c r="O587" s="253">
        <v>9.7029098531832716</v>
      </c>
      <c r="P587" s="250">
        <v>4362076.3117200006</v>
      </c>
    </row>
    <row r="588" spans="6:16" ht="15.75" thickBot="1">
      <c r="F588" s="240"/>
      <c r="G588" s="235"/>
      <c r="H588" s="236" t="s">
        <v>530</v>
      </c>
      <c r="I588" s="239" t="s">
        <v>519</v>
      </c>
      <c r="J588" s="228" t="s">
        <v>551</v>
      </c>
      <c r="K588" s="229">
        <v>4.49</v>
      </c>
      <c r="L588" s="230">
        <v>4.59</v>
      </c>
      <c r="N588" s="248" t="s">
        <v>1141</v>
      </c>
      <c r="O588" s="253">
        <v>9.1523663293233692</v>
      </c>
      <c r="P588" s="250">
        <v>4526357.8173099998</v>
      </c>
    </row>
    <row r="589" spans="6:16" ht="16.5" thickBot="1">
      <c r="F589" s="240"/>
      <c r="G589" s="235"/>
      <c r="H589" s="236" t="s">
        <v>532</v>
      </c>
      <c r="I589" s="239" t="s">
        <v>519</v>
      </c>
      <c r="J589" s="228" t="s">
        <v>552</v>
      </c>
      <c r="K589" s="229">
        <v>4.37</v>
      </c>
      <c r="L589" s="230">
        <v>4.5999999999999996</v>
      </c>
      <c r="N589" s="258" t="s">
        <v>561</v>
      </c>
      <c r="O589" s="259">
        <f>AVERAGE(O537:O588)</f>
        <v>12.401885052936203</v>
      </c>
      <c r="P589" s="260"/>
    </row>
    <row r="590" spans="6:16" ht="15.75" thickBot="1">
      <c r="F590" s="640" t="s">
        <v>561</v>
      </c>
      <c r="G590" s="662"/>
      <c r="H590" s="662"/>
      <c r="I590" s="662"/>
      <c r="J590" s="662"/>
      <c r="K590" s="663"/>
      <c r="L590" s="234">
        <f>AVERAGE(L538:L589)</f>
        <v>7.0017307692307691</v>
      </c>
    </row>
  </sheetData>
  <mergeCells count="29">
    <mergeCell ref="O3:P3"/>
    <mergeCell ref="A38:C38"/>
    <mergeCell ref="A1:D1"/>
    <mergeCell ref="F537:K537"/>
    <mergeCell ref="F590:K590"/>
    <mergeCell ref="H6:J6"/>
    <mergeCell ref="F59:K59"/>
    <mergeCell ref="F112:K112"/>
    <mergeCell ref="F165:K165"/>
    <mergeCell ref="F218:K218"/>
    <mergeCell ref="F271:K271"/>
    <mergeCell ref="F431:K431"/>
    <mergeCell ref="F484:K484"/>
    <mergeCell ref="R1:U1"/>
    <mergeCell ref="F324:K324"/>
    <mergeCell ref="F377:K377"/>
    <mergeCell ref="A243:C243"/>
    <mergeCell ref="A278:C278"/>
    <mergeCell ref="A311:C311"/>
    <mergeCell ref="A324:C324"/>
    <mergeCell ref="A351:C351"/>
    <mergeCell ref="A92:C92"/>
    <mergeCell ref="A107:C107"/>
    <mergeCell ref="A133:C133"/>
    <mergeCell ref="A161:C161"/>
    <mergeCell ref="A192:C192"/>
    <mergeCell ref="N1:P1"/>
    <mergeCell ref="N2:P2"/>
    <mergeCell ref="N3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Z27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M1"/>
    </sheetView>
  </sheetViews>
  <sheetFormatPr defaultColWidth="11.42578125" defaultRowHeight="15"/>
  <cols>
    <col min="1" max="1" width="13" customWidth="1"/>
    <col min="2" max="3" width="12.42578125" bestFit="1" customWidth="1"/>
    <col min="4" max="4" width="13.42578125" bestFit="1" customWidth="1"/>
    <col min="5" max="5" width="13.28515625" bestFit="1" customWidth="1"/>
    <col min="6" max="12" width="13.42578125" bestFit="1" customWidth="1"/>
    <col min="13" max="13" width="13.7109375" bestFit="1" customWidth="1"/>
    <col min="29" max="29" width="10.140625" bestFit="1" customWidth="1"/>
    <col min="30" max="30" width="12.140625" bestFit="1" customWidth="1"/>
    <col min="31" max="31" width="13.140625" bestFit="1" customWidth="1"/>
    <col min="39" max="39" width="12.140625" bestFit="1" customWidth="1"/>
  </cols>
  <sheetData>
    <row r="1" spans="1:52" ht="15.75" thickBot="1">
      <c r="A1" s="667" t="s">
        <v>79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9"/>
      <c r="O1" s="667" t="s">
        <v>261</v>
      </c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9"/>
      <c r="AB1" s="667" t="s">
        <v>261</v>
      </c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9"/>
      <c r="AO1" s="676" t="s">
        <v>261</v>
      </c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8"/>
    </row>
    <row r="2" spans="1:52" ht="15.75" thickBot="1">
      <c r="A2" s="485" t="s">
        <v>80</v>
      </c>
      <c r="B2" s="486">
        <v>1999</v>
      </c>
      <c r="C2" s="487">
        <v>2000</v>
      </c>
      <c r="D2" s="486">
        <v>2001</v>
      </c>
      <c r="E2" s="487">
        <v>2002</v>
      </c>
      <c r="F2" s="486">
        <v>2003</v>
      </c>
      <c r="G2" s="487">
        <v>2004</v>
      </c>
      <c r="H2" s="486">
        <v>2005</v>
      </c>
      <c r="I2" s="487">
        <v>2006</v>
      </c>
      <c r="J2" s="486">
        <v>2007</v>
      </c>
      <c r="K2" s="487">
        <v>2008</v>
      </c>
      <c r="L2" s="486">
        <v>2009</v>
      </c>
      <c r="M2" s="484" t="s">
        <v>81</v>
      </c>
      <c r="O2" s="480">
        <v>1999</v>
      </c>
      <c r="P2" s="481">
        <v>2000</v>
      </c>
      <c r="Q2" s="482">
        <v>2001</v>
      </c>
      <c r="R2" s="481">
        <v>2002</v>
      </c>
      <c r="S2" s="482">
        <v>2003</v>
      </c>
      <c r="T2" s="481">
        <v>2004</v>
      </c>
      <c r="U2" s="482">
        <v>2005</v>
      </c>
      <c r="V2" s="481">
        <v>2006</v>
      </c>
      <c r="W2" s="482">
        <v>2007</v>
      </c>
      <c r="X2" s="481">
        <v>2008</v>
      </c>
      <c r="Y2" s="483">
        <v>2009</v>
      </c>
      <c r="Z2" s="484" t="s">
        <v>81</v>
      </c>
      <c r="AB2" s="480">
        <v>1999</v>
      </c>
      <c r="AC2" s="481">
        <v>2000</v>
      </c>
      <c r="AD2" s="482">
        <v>2001</v>
      </c>
      <c r="AE2" s="481">
        <v>2002</v>
      </c>
      <c r="AF2" s="482">
        <v>2003</v>
      </c>
      <c r="AG2" s="481">
        <v>2004</v>
      </c>
      <c r="AH2" s="482">
        <v>2005</v>
      </c>
      <c r="AI2" s="481">
        <v>2006</v>
      </c>
      <c r="AJ2" s="482">
        <v>2007</v>
      </c>
      <c r="AK2" s="481">
        <v>2008</v>
      </c>
      <c r="AL2" s="483">
        <v>2009</v>
      </c>
      <c r="AM2" s="484" t="s">
        <v>81</v>
      </c>
      <c r="AO2" s="480">
        <v>1999</v>
      </c>
      <c r="AP2" s="481">
        <v>2000</v>
      </c>
      <c r="AQ2" s="482">
        <v>2001</v>
      </c>
      <c r="AR2" s="481">
        <v>2002</v>
      </c>
      <c r="AS2" s="482">
        <v>2003</v>
      </c>
      <c r="AT2" s="481">
        <v>2004</v>
      </c>
      <c r="AU2" s="482">
        <v>2005</v>
      </c>
      <c r="AV2" s="481">
        <v>2006</v>
      </c>
      <c r="AW2" s="482">
        <v>2007</v>
      </c>
      <c r="AX2" s="481">
        <v>2008</v>
      </c>
      <c r="AY2" s="483">
        <v>2009</v>
      </c>
      <c r="AZ2" s="484" t="s">
        <v>81</v>
      </c>
    </row>
    <row r="3" spans="1:52" ht="15.75" thickBot="1">
      <c r="A3" s="7"/>
      <c r="B3" s="670" t="s">
        <v>82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  <c r="O3" s="670" t="s">
        <v>262</v>
      </c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6"/>
      <c r="AB3" s="679" t="s">
        <v>263</v>
      </c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1"/>
      <c r="AO3" s="679" t="s">
        <v>268</v>
      </c>
      <c r="AP3" s="680"/>
      <c r="AQ3" s="680"/>
      <c r="AR3" s="680"/>
      <c r="AS3" s="680"/>
      <c r="AT3" s="680"/>
      <c r="AU3" s="680"/>
      <c r="AV3" s="680"/>
      <c r="AW3" s="680"/>
      <c r="AX3" s="680"/>
      <c r="AY3" s="680"/>
      <c r="AZ3" s="681"/>
    </row>
    <row r="4" spans="1:52">
      <c r="A4" s="514" t="s">
        <v>0</v>
      </c>
      <c r="B4" s="492">
        <v>77578976</v>
      </c>
      <c r="C4" s="493">
        <v>113444554</v>
      </c>
      <c r="D4" s="493">
        <v>139524560</v>
      </c>
      <c r="E4" s="493">
        <v>119222302</v>
      </c>
      <c r="F4" s="493">
        <v>175307074</v>
      </c>
      <c r="G4" s="493">
        <v>185085185</v>
      </c>
      <c r="H4" s="493">
        <v>253442593</v>
      </c>
      <c r="I4" s="493">
        <v>338788735</v>
      </c>
      <c r="J4" s="493">
        <v>300336686</v>
      </c>
      <c r="K4" s="493">
        <v>319351388.45999998</v>
      </c>
      <c r="L4" s="494">
        <v>307666643.39999998</v>
      </c>
      <c r="M4" s="463"/>
      <c r="O4" s="55">
        <f>B4/$B$104</f>
        <v>2.0260043461458904E-2</v>
      </c>
      <c r="P4" s="56">
        <f>C4/$C$104</f>
        <v>1.8936775130591214E-2</v>
      </c>
      <c r="Q4" s="56">
        <f>D4/$D$104</f>
        <v>1.2940614975565109E-2</v>
      </c>
      <c r="R4" s="56">
        <f>E4/$E$104</f>
        <v>1.2656985842908008E-2</v>
      </c>
      <c r="S4" s="56">
        <f>F4/$F$104</f>
        <v>1.4811135679534133E-2</v>
      </c>
      <c r="T4" s="56">
        <f>G4/$G$104</f>
        <v>1.3193340402984571E-2</v>
      </c>
      <c r="U4" s="56">
        <f>H4/$H$104</f>
        <v>1.6992846026416101E-2</v>
      </c>
      <c r="V4" s="56">
        <f>I4/$I$104</f>
        <v>1.6868919613773004E-2</v>
      </c>
      <c r="W4" s="56">
        <f>J4/$J$104</f>
        <v>1.3166311796239304E-2</v>
      </c>
      <c r="X4" s="56">
        <f>K4/$K$104</f>
        <v>1.1556646299455475E-2</v>
      </c>
      <c r="Y4" s="57">
        <f>L4/$L$104</f>
        <v>1.1265833819989607E-2</v>
      </c>
      <c r="Z4" s="57">
        <f>AVERAGE(O4:Y4)</f>
        <v>1.4786313913537767E-2</v>
      </c>
      <c r="AB4" s="67"/>
      <c r="AC4" s="56">
        <f>+IF(B4=0,"",C4/B4-1)</f>
        <v>0.46231053629787544</v>
      </c>
      <c r="AD4" s="56">
        <f t="shared" ref="AD4:AL19" si="0">+IF(C4=0,"",D4/C4-1)</f>
        <v>0.22989209336571581</v>
      </c>
      <c r="AE4" s="56">
        <f t="shared" si="0"/>
        <v>-0.14551028148735967</v>
      </c>
      <c r="AF4" s="56">
        <f t="shared" si="0"/>
        <v>0.47042181755557788</v>
      </c>
      <c r="AG4" s="56">
        <f t="shared" si="0"/>
        <v>5.5777047536598623E-2</v>
      </c>
      <c r="AH4" s="56">
        <f t="shared" si="0"/>
        <v>0.36932944146772195</v>
      </c>
      <c r="AI4" s="56">
        <f t="shared" si="0"/>
        <v>0.33674743061044987</v>
      </c>
      <c r="AJ4" s="56">
        <f t="shared" si="0"/>
        <v>-0.11349860555428448</v>
      </c>
      <c r="AK4" s="56">
        <f t="shared" si="0"/>
        <v>6.3311288118828024E-2</v>
      </c>
      <c r="AL4" s="57">
        <f t="shared" si="0"/>
        <v>-3.6588990943008159E-2</v>
      </c>
      <c r="AM4" s="64">
        <f>AVERAGE(AB4:AL4)</f>
        <v>0.16921917769681155</v>
      </c>
      <c r="AO4" s="67"/>
      <c r="AP4" s="56">
        <f>IF(AC4="",,(((AC4+1)/($C$273+1))-1))</f>
        <v>0.34465336671069013</v>
      </c>
      <c r="AQ4" s="56">
        <f>IF(AD4="",,(((AD4+1)/($D$273+1))-1))</f>
        <v>0.1424914940694062</v>
      </c>
      <c r="AR4" s="56">
        <f>IF(AE4="",,(((AE4+1)/($E$273+1))-1))</f>
        <v>-0.20133683660843049</v>
      </c>
      <c r="AS4" s="56">
        <f>IF(AF4="",,(((AF4+1)/($F$273+1))-1))</f>
        <v>0.38080741624150427</v>
      </c>
      <c r="AT4" s="56">
        <f>IF(AG4="",,(((AG4+1)/($G$273+1))-1))</f>
        <v>7.6003777246458348E-4</v>
      </c>
      <c r="AU4" s="56">
        <f>IF(AH4="",,(((AH4+1)/($H$273+1))-1))</f>
        <v>0.30595686472054662</v>
      </c>
      <c r="AV4" s="56">
        <f>IF(AI4="",,(((AI4+1)/($I$273+1))-1))</f>
        <v>0.279429010921181</v>
      </c>
      <c r="AW4" s="56">
        <f>IF(AJ4="",,(((AJ4+1)/($J$273+1))-1))</f>
        <v>-0.16122490827352109</v>
      </c>
      <c r="AX4" s="56">
        <f>IF(AK4="",,(((AK4+1)/($K$273+1))-1))</f>
        <v>-1.243495112953652E-2</v>
      </c>
      <c r="AY4" s="56">
        <f>IF(AL4="",,(((AL4+1)/($L$273+1))-1))</f>
        <v>-5.5479402885302176E-2</v>
      </c>
      <c r="AZ4" s="64">
        <f>AVERAGE(AO4:AY4)</f>
        <v>0.10236220915390026</v>
      </c>
    </row>
    <row r="5" spans="1:52">
      <c r="A5" s="515" t="s">
        <v>1</v>
      </c>
      <c r="B5" s="495">
        <v>58442279</v>
      </c>
      <c r="C5" s="496">
        <v>133039252</v>
      </c>
      <c r="D5" s="496">
        <v>162828980</v>
      </c>
      <c r="E5" s="496">
        <v>185071311</v>
      </c>
      <c r="F5" s="496">
        <v>215372437</v>
      </c>
      <c r="G5" s="496">
        <v>421961337</v>
      </c>
      <c r="H5" s="496">
        <v>344732674</v>
      </c>
      <c r="I5" s="496">
        <v>899337678</v>
      </c>
      <c r="J5" s="496">
        <v>528443756.13</v>
      </c>
      <c r="K5" s="496">
        <v>697152482.24000001</v>
      </c>
      <c r="L5" s="497">
        <v>645087671.80999994</v>
      </c>
      <c r="M5" s="463"/>
      <c r="O5" s="58">
        <f t="shared" ref="O5:O68" si="1">B5/$B$104</f>
        <v>1.5262422547659138E-2</v>
      </c>
      <c r="P5" s="59">
        <f t="shared" ref="P5:P68" si="2">C5/$C$104</f>
        <v>2.220762751349049E-2</v>
      </c>
      <c r="Q5" s="59">
        <f t="shared" ref="Q5:Q68" si="3">D5/$D$104</f>
        <v>1.5102051832623531E-2</v>
      </c>
      <c r="R5" s="59">
        <f t="shared" ref="R5:R68" si="4">E5/$E$104</f>
        <v>1.9647707886528018E-2</v>
      </c>
      <c r="S5" s="59">
        <f t="shared" ref="S5:S68" si="5">F5/$F$104</f>
        <v>1.8196130442739107E-2</v>
      </c>
      <c r="T5" s="59">
        <f t="shared" ref="T5:T68" si="6">G5/$G$104</f>
        <v>3.007847200703551E-2</v>
      </c>
      <c r="U5" s="59">
        <f t="shared" ref="U5:U68" si="7">H5/$H$104</f>
        <v>2.3113673121063345E-2</v>
      </c>
      <c r="V5" s="59">
        <f t="shared" ref="V5:V68" si="8">I5/$I$104</f>
        <v>4.4779691378520219E-2</v>
      </c>
      <c r="W5" s="59">
        <f t="shared" ref="W5:W68" si="9">J5/$J$104</f>
        <v>2.3166185099290283E-2</v>
      </c>
      <c r="X5" s="59">
        <f t="shared" ref="X5:X68" si="10">K5/$K$104</f>
        <v>2.5228462894390184E-2</v>
      </c>
      <c r="Y5" s="60">
        <f t="shared" ref="Y5:Y68" si="11">L5/$L$104</f>
        <v>2.362118437547674E-2</v>
      </c>
      <c r="Z5" s="60">
        <f t="shared" ref="Z5:Z68" si="12">AVERAGE(O5:Y5)</f>
        <v>2.3673055372619687E-2</v>
      </c>
      <c r="AB5" s="68"/>
      <c r="AC5" s="59">
        <f t="shared" ref="AC5:AG68" si="13">+IF(B5=0,"",C5/B5-1)</f>
        <v>1.2764213558475364</v>
      </c>
      <c r="AD5" s="59">
        <f t="shared" si="0"/>
        <v>0.22391683320648847</v>
      </c>
      <c r="AE5" s="59">
        <f t="shared" si="0"/>
        <v>0.13659933876635466</v>
      </c>
      <c r="AF5" s="59">
        <f t="shared" si="0"/>
        <v>0.1637267593570999</v>
      </c>
      <c r="AG5" s="59">
        <f t="shared" si="0"/>
        <v>0.95921698652646059</v>
      </c>
      <c r="AH5" s="59">
        <f t="shared" si="0"/>
        <v>-0.18302307872344237</v>
      </c>
      <c r="AI5" s="59">
        <f t="shared" si="0"/>
        <v>1.6087973256634212</v>
      </c>
      <c r="AJ5" s="59">
        <f t="shared" si="0"/>
        <v>-0.41240785407191627</v>
      </c>
      <c r="AK5" s="59">
        <f t="shared" si="0"/>
        <v>0.31925578484552442</v>
      </c>
      <c r="AL5" s="60">
        <f t="shared" si="0"/>
        <v>-7.468209861738162E-2</v>
      </c>
      <c r="AM5" s="65">
        <f t="shared" ref="AM5:AM68" si="14">AVERAGE(AB5:AL5)</f>
        <v>0.4017821352800145</v>
      </c>
      <c r="AO5" s="68"/>
      <c r="AP5" s="59">
        <f t="shared" ref="AP5:AP68" si="15">IF(AC5="",,(((AC5+1)/($C$273+1))-1))</f>
        <v>1.0932610168712982</v>
      </c>
      <c r="AQ5" s="59">
        <f t="shared" ref="AQ5:AQ68" si="16">IF(AD5="",,(((AD5+1)/($D$273+1))-1))</f>
        <v>0.13694085760008212</v>
      </c>
      <c r="AR5" s="59">
        <f t="shared" ref="AR5:AR68" si="17">IF(AE5="",,(((AE5+1)/($E$273+1))-1))</f>
        <v>6.2341656945840374E-2</v>
      </c>
      <c r="AS5" s="59">
        <f t="shared" ref="AS5:AS68" si="18">IF(AF5="",,(((AF5+1)/($F$273+1))-1))</f>
        <v>9.2803793179735194E-2</v>
      </c>
      <c r="AT5" s="59">
        <f t="shared" ref="AT5:AT68" si="19">IF(AG5="",,(((AG5+1)/($G$273+1))-1))</f>
        <v>0.85712132122545182</v>
      </c>
      <c r="AU5" s="59">
        <f t="shared" ref="AU5:AU68" si="20">IF(AH5="",,(((AH5+1)/($H$273+1))-1))</f>
        <v>-0.22083277672334489</v>
      </c>
      <c r="AV5" s="59">
        <f t="shared" ref="AV5:AV68" si="21">IF(AI5="",,(((AI5+1)/($I$273+1))-1))</f>
        <v>1.4969346532000585</v>
      </c>
      <c r="AW5" s="59">
        <f t="shared" ref="AW5:AW68" si="22">IF(AJ5="",,(((AJ5+1)/($J$273+1))-1))</f>
        <v>-0.44404187157906727</v>
      </c>
      <c r="AX5" s="59">
        <f t="shared" ref="AX5:AX68" si="23">IF(AK5="",,(((AK5+1)/($K$273+1))-1))</f>
        <v>0.22527703617119377</v>
      </c>
      <c r="AY5" s="59">
        <f t="shared" ref="AY5:AY68" si="24">IF(AL5="",,(((AL5+1)/($L$273+1))-1))</f>
        <v>-9.2825586879785926E-2</v>
      </c>
      <c r="AZ5" s="65">
        <f t="shared" ref="AZ5:AZ68" si="25">AVERAGE(AO5:AY5)</f>
        <v>0.32069801000114617</v>
      </c>
    </row>
    <row r="6" spans="1:52" ht="25.5">
      <c r="A6" s="515" t="s">
        <v>84</v>
      </c>
      <c r="B6" s="495">
        <v>342667</v>
      </c>
      <c r="C6" s="496">
        <v>304008</v>
      </c>
      <c r="D6" s="496">
        <v>1003056</v>
      </c>
      <c r="E6" s="496">
        <v>817745</v>
      </c>
      <c r="F6" s="496">
        <v>1135309</v>
      </c>
      <c r="G6" s="496">
        <v>133732</v>
      </c>
      <c r="H6" s="496">
        <v>404003</v>
      </c>
      <c r="I6" s="496">
        <v>1643500</v>
      </c>
      <c r="J6" s="496">
        <v>825373</v>
      </c>
      <c r="K6" s="496">
        <v>5785728</v>
      </c>
      <c r="L6" s="497">
        <v>1937895</v>
      </c>
      <c r="M6" s="463"/>
      <c r="O6" s="58">
        <f t="shared" si="1"/>
        <v>8.9488785116314742E-5</v>
      </c>
      <c r="P6" s="59">
        <f t="shared" si="2"/>
        <v>5.0746650508236597E-5</v>
      </c>
      <c r="Q6" s="59">
        <f t="shared" si="3"/>
        <v>9.303137379491063E-5</v>
      </c>
      <c r="R6" s="59">
        <f t="shared" si="4"/>
        <v>8.6814184212856489E-5</v>
      </c>
      <c r="S6" s="59">
        <f t="shared" si="5"/>
        <v>9.5918637243333472E-5</v>
      </c>
      <c r="T6" s="59">
        <f t="shared" si="6"/>
        <v>9.5327554108230359E-6</v>
      </c>
      <c r="U6" s="59">
        <f t="shared" si="7"/>
        <v>2.7087636264872745E-5</v>
      </c>
      <c r="V6" s="59">
        <f t="shared" si="8"/>
        <v>8.1832913910894742E-5</v>
      </c>
      <c r="W6" s="59">
        <f t="shared" si="9"/>
        <v>3.6183119721169938E-5</v>
      </c>
      <c r="X6" s="59">
        <f t="shared" si="10"/>
        <v>2.0937316854418767E-4</v>
      </c>
      <c r="Y6" s="60">
        <f t="shared" si="11"/>
        <v>7.0959928542545285E-5</v>
      </c>
      <c r="Z6" s="60">
        <f t="shared" si="12"/>
        <v>7.7360832115467749E-5</v>
      </c>
      <c r="AB6" s="68"/>
      <c r="AC6" s="59">
        <f t="shared" si="13"/>
        <v>-0.11281798364009377</v>
      </c>
      <c r="AD6" s="59">
        <f t="shared" si="0"/>
        <v>2.2994394884345151</v>
      </c>
      <c r="AE6" s="59">
        <f t="shared" si="0"/>
        <v>-0.18474641495589483</v>
      </c>
      <c r="AF6" s="59">
        <f t="shared" si="0"/>
        <v>0.38834110878085459</v>
      </c>
      <c r="AG6" s="59">
        <f t="shared" si="0"/>
        <v>-0.88220651822543461</v>
      </c>
      <c r="AH6" s="59">
        <f t="shared" si="0"/>
        <v>2.0209897406753807</v>
      </c>
      <c r="AI6" s="59">
        <f t="shared" si="0"/>
        <v>3.0680390987195638</v>
      </c>
      <c r="AJ6" s="59">
        <f t="shared" si="0"/>
        <v>-0.49779555825981137</v>
      </c>
      <c r="AK6" s="59">
        <f t="shared" si="0"/>
        <v>6.0098343415643596</v>
      </c>
      <c r="AL6" s="60">
        <f t="shared" si="0"/>
        <v>-0.665055979126568</v>
      </c>
      <c r="AM6" s="65">
        <f t="shared" si="14"/>
        <v>1.1444021323966873</v>
      </c>
      <c r="AO6" s="68"/>
      <c r="AP6" s="59">
        <f t="shared" si="15"/>
        <v>-0.18420044472652297</v>
      </c>
      <c r="AQ6" s="59">
        <f t="shared" si="16"/>
        <v>2.064969334356261</v>
      </c>
      <c r="AR6" s="59">
        <f t="shared" si="17"/>
        <v>-0.23800954758004944</v>
      </c>
      <c r="AS6" s="59">
        <f t="shared" si="18"/>
        <v>0.30372909078867005</v>
      </c>
      <c r="AT6" s="59">
        <f t="shared" si="19"/>
        <v>-0.88834478875524359</v>
      </c>
      <c r="AU6" s="59">
        <f t="shared" si="20"/>
        <v>1.8811783129825854</v>
      </c>
      <c r="AV6" s="59">
        <f t="shared" si="21"/>
        <v>2.8936055692185718</v>
      </c>
      <c r="AW6" s="59">
        <f t="shared" si="22"/>
        <v>-0.52483258421781753</v>
      </c>
      <c r="AX6" s="59">
        <f t="shared" si="23"/>
        <v>5.5104804881251601</v>
      </c>
      <c r="AY6" s="59">
        <f t="shared" si="24"/>
        <v>-0.67162350894761569</v>
      </c>
      <c r="AZ6" s="65">
        <f t="shared" si="25"/>
        <v>1.0146951921244001</v>
      </c>
    </row>
    <row r="7" spans="1:52" ht="25.5">
      <c r="A7" s="515" t="s">
        <v>2</v>
      </c>
      <c r="B7" s="495">
        <v>106590923</v>
      </c>
      <c r="C7" s="496">
        <v>77977653</v>
      </c>
      <c r="D7" s="496">
        <v>99225724</v>
      </c>
      <c r="E7" s="496">
        <v>136699511</v>
      </c>
      <c r="F7" s="496">
        <v>160888639</v>
      </c>
      <c r="G7" s="496">
        <v>191809911</v>
      </c>
      <c r="H7" s="496">
        <v>160388711</v>
      </c>
      <c r="I7" s="496">
        <v>166792210</v>
      </c>
      <c r="J7" s="496">
        <v>282339519</v>
      </c>
      <c r="K7" s="496">
        <v>927561183.58000004</v>
      </c>
      <c r="L7" s="497">
        <v>489350810.11000001</v>
      </c>
      <c r="M7" s="463"/>
      <c r="O7" s="58">
        <f t="shared" si="1"/>
        <v>2.7836623321465595E-2</v>
      </c>
      <c r="P7" s="59">
        <f t="shared" si="2"/>
        <v>1.3016449252136611E-2</v>
      </c>
      <c r="Q7" s="59">
        <f t="shared" si="3"/>
        <v>9.2029811092447841E-3</v>
      </c>
      <c r="R7" s="59">
        <f t="shared" si="4"/>
        <v>1.4512417110176647E-2</v>
      </c>
      <c r="S7" s="59">
        <f t="shared" si="5"/>
        <v>1.3592968082534917E-2</v>
      </c>
      <c r="T7" s="59">
        <f t="shared" si="6"/>
        <v>1.3672695891295539E-2</v>
      </c>
      <c r="U7" s="59">
        <f t="shared" si="7"/>
        <v>1.0753759414063249E-2</v>
      </c>
      <c r="V7" s="59">
        <f t="shared" si="8"/>
        <v>8.304893557613555E-3</v>
      </c>
      <c r="W7" s="59">
        <f t="shared" si="9"/>
        <v>1.2377342871640499E-2</v>
      </c>
      <c r="X7" s="59">
        <f t="shared" si="10"/>
        <v>3.3566462859080409E-2</v>
      </c>
      <c r="Y7" s="60">
        <f t="shared" si="11"/>
        <v>1.7918565514458855E-2</v>
      </c>
      <c r="Z7" s="60">
        <f t="shared" si="12"/>
        <v>1.5886832634882789E-2</v>
      </c>
      <c r="AB7" s="68"/>
      <c r="AC7" s="59">
        <f t="shared" si="13"/>
        <v>-0.26844002467264494</v>
      </c>
      <c r="AD7" s="59">
        <f t="shared" si="0"/>
        <v>0.27248923483244614</v>
      </c>
      <c r="AE7" s="59">
        <f t="shared" si="0"/>
        <v>0.37766201635374319</v>
      </c>
      <c r="AF7" s="59">
        <f t="shared" si="0"/>
        <v>0.17695109384846308</v>
      </c>
      <c r="AG7" s="59">
        <f t="shared" si="0"/>
        <v>0.19219052502520073</v>
      </c>
      <c r="AH7" s="59">
        <f t="shared" si="0"/>
        <v>-0.16381426713659231</v>
      </c>
      <c r="AI7" s="59">
        <f t="shared" si="0"/>
        <v>3.9924873515568171E-2</v>
      </c>
      <c r="AJ7" s="59">
        <f t="shared" si="0"/>
        <v>0.69276202407774323</v>
      </c>
      <c r="AK7" s="59">
        <f t="shared" si="0"/>
        <v>2.2852686965865381</v>
      </c>
      <c r="AL7" s="60">
        <f t="shared" si="0"/>
        <v>-0.47243284995895407</v>
      </c>
      <c r="AM7" s="65">
        <f t="shared" si="14"/>
        <v>0.31325613224715115</v>
      </c>
      <c r="AO7" s="68"/>
      <c r="AP7" s="59">
        <f t="shared" si="15"/>
        <v>-0.32730117211277687</v>
      </c>
      <c r="AQ7" s="59">
        <f t="shared" si="16"/>
        <v>0.18206152794467823</v>
      </c>
      <c r="AR7" s="59">
        <f t="shared" si="17"/>
        <v>0.28765493630595662</v>
      </c>
      <c r="AS7" s="59">
        <f t="shared" si="18"/>
        <v>0.10522217470979722</v>
      </c>
      <c r="AT7" s="59">
        <f t="shared" si="19"/>
        <v>0.13006494850404038</v>
      </c>
      <c r="AU7" s="59">
        <f t="shared" si="20"/>
        <v>-0.20251294907976336</v>
      </c>
      <c r="AV7" s="59">
        <f t="shared" si="21"/>
        <v>-4.6660858388511972E-3</v>
      </c>
      <c r="AW7" s="59">
        <f t="shared" si="22"/>
        <v>0.60162931599748637</v>
      </c>
      <c r="AX7" s="59">
        <f t="shared" si="23"/>
        <v>2.0512386891302481</v>
      </c>
      <c r="AY7" s="59">
        <f t="shared" si="24"/>
        <v>-0.48277730388132756</v>
      </c>
      <c r="AZ7" s="65">
        <f t="shared" si="25"/>
        <v>0.23406140816794876</v>
      </c>
    </row>
    <row r="8" spans="1:52">
      <c r="A8" s="515" t="s">
        <v>85</v>
      </c>
      <c r="B8" s="495">
        <v>971245</v>
      </c>
      <c r="C8" s="496">
        <v>1037355</v>
      </c>
      <c r="D8" s="496">
        <v>779422</v>
      </c>
      <c r="E8" s="496">
        <v>772008</v>
      </c>
      <c r="F8" s="496">
        <v>995452</v>
      </c>
      <c r="G8" s="496">
        <v>4430064</v>
      </c>
      <c r="H8" s="496">
        <v>8200475</v>
      </c>
      <c r="I8" s="496">
        <v>9301455</v>
      </c>
      <c r="J8" s="496">
        <v>11652528</v>
      </c>
      <c r="K8" s="496">
        <v>15412548</v>
      </c>
      <c r="L8" s="497">
        <v>20578773.68</v>
      </c>
      <c r="M8" s="463"/>
      <c r="O8" s="58">
        <f t="shared" si="1"/>
        <v>2.5364431094997511E-4</v>
      </c>
      <c r="P8" s="59">
        <f t="shared" si="2"/>
        <v>1.7316087615448203E-4</v>
      </c>
      <c r="Q8" s="59">
        <f t="shared" si="3"/>
        <v>7.2289781852635177E-5</v>
      </c>
      <c r="R8" s="59">
        <f t="shared" si="4"/>
        <v>8.1958611456870925E-5</v>
      </c>
      <c r="S8" s="59">
        <f t="shared" si="5"/>
        <v>8.4102565276194223E-5</v>
      </c>
      <c r="T8" s="59">
        <f t="shared" si="6"/>
        <v>3.1578617358816395E-4</v>
      </c>
      <c r="U8" s="59">
        <f t="shared" si="7"/>
        <v>5.4982632306983445E-4</v>
      </c>
      <c r="V8" s="59">
        <f t="shared" si="8"/>
        <v>4.6313669988503893E-4</v>
      </c>
      <c r="W8" s="59">
        <f t="shared" si="9"/>
        <v>5.1082942582115587E-4</v>
      </c>
      <c r="X8" s="59">
        <f t="shared" si="10"/>
        <v>5.5774727227055662E-4</v>
      </c>
      <c r="Y8" s="60">
        <f t="shared" si="11"/>
        <v>7.535332460355239E-4</v>
      </c>
      <c r="Z8" s="60">
        <f t="shared" si="12"/>
        <v>3.4691048057822101E-4</v>
      </c>
      <c r="AB8" s="68"/>
      <c r="AC8" s="59">
        <f t="shared" si="13"/>
        <v>6.8067274477603412E-2</v>
      </c>
      <c r="AD8" s="59">
        <f t="shared" si="0"/>
        <v>-0.24864487084941989</v>
      </c>
      <c r="AE8" s="59">
        <f t="shared" si="0"/>
        <v>-9.5121769721665528E-3</v>
      </c>
      <c r="AF8" s="59">
        <f t="shared" si="0"/>
        <v>0.28943223386286143</v>
      </c>
      <c r="AG8" s="59">
        <f t="shared" si="0"/>
        <v>3.4503039825124668</v>
      </c>
      <c r="AH8" s="59">
        <f t="shared" si="0"/>
        <v>0.85109628213046129</v>
      </c>
      <c r="AI8" s="59">
        <f t="shared" si="0"/>
        <v>0.13425807651386057</v>
      </c>
      <c r="AJ8" s="59">
        <f t="shared" si="0"/>
        <v>0.25276400305113556</v>
      </c>
      <c r="AK8" s="59">
        <f t="shared" si="0"/>
        <v>0.32267847800923533</v>
      </c>
      <c r="AL8" s="60">
        <f t="shared" si="0"/>
        <v>0.3351960804923364</v>
      </c>
      <c r="AM8" s="65">
        <f t="shared" si="14"/>
        <v>0.54456393632283739</v>
      </c>
      <c r="AO8" s="68"/>
      <c r="AP8" s="59">
        <f t="shared" si="15"/>
        <v>-1.7869172894157681E-2</v>
      </c>
      <c r="AQ8" s="59">
        <f t="shared" si="16"/>
        <v>-0.30203889535477924</v>
      </c>
      <c r="AR8" s="59">
        <f t="shared" si="17"/>
        <v>-7.4223924639841732E-2</v>
      </c>
      <c r="AS8" s="59">
        <f t="shared" si="18"/>
        <v>0.21084818655541504</v>
      </c>
      <c r="AT8" s="59">
        <f t="shared" si="19"/>
        <v>3.2183966700448066</v>
      </c>
      <c r="AU8" s="59">
        <f t="shared" si="20"/>
        <v>0.76542753241017047</v>
      </c>
      <c r="AV8" s="59">
        <f t="shared" si="21"/>
        <v>8.5622201870080961E-2</v>
      </c>
      <c r="AW8" s="59">
        <f t="shared" si="22"/>
        <v>0.18531933300325054</v>
      </c>
      <c r="AX8" s="59">
        <f t="shared" si="23"/>
        <v>0.22845590973273455</v>
      </c>
      <c r="AY8" s="59">
        <f t="shared" si="24"/>
        <v>0.30901576518856499</v>
      </c>
      <c r="AZ8" s="65">
        <f t="shared" si="25"/>
        <v>0.4608953605916245</v>
      </c>
    </row>
    <row r="9" spans="1:52" ht="25.5">
      <c r="A9" s="515" t="s">
        <v>3</v>
      </c>
      <c r="B9" s="495">
        <v>243926091</v>
      </c>
      <c r="C9" s="496">
        <v>325802822</v>
      </c>
      <c r="D9" s="496">
        <v>403361742</v>
      </c>
      <c r="E9" s="496">
        <v>442582877</v>
      </c>
      <c r="F9" s="496">
        <v>553698911</v>
      </c>
      <c r="G9" s="496">
        <v>803420229</v>
      </c>
      <c r="H9" s="496">
        <v>767168456</v>
      </c>
      <c r="I9" s="496">
        <v>1415863578</v>
      </c>
      <c r="J9" s="496">
        <v>1123681583.1300001</v>
      </c>
      <c r="K9" s="496">
        <v>1965263330.28</v>
      </c>
      <c r="L9" s="497">
        <v>1465030193</v>
      </c>
      <c r="M9" s="463"/>
      <c r="O9" s="58">
        <f t="shared" si="1"/>
        <v>6.370222268780372E-2</v>
      </c>
      <c r="P9" s="59">
        <f t="shared" si="2"/>
        <v>5.4384759422881034E-2</v>
      </c>
      <c r="Q9" s="59">
        <f t="shared" si="3"/>
        <v>3.7410969073080967E-2</v>
      </c>
      <c r="R9" s="59">
        <f t="shared" si="4"/>
        <v>4.6985883635282395E-2</v>
      </c>
      <c r="S9" s="59">
        <f t="shared" si="5"/>
        <v>4.6780255407327685E-2</v>
      </c>
      <c r="T9" s="59">
        <f t="shared" si="6"/>
        <v>5.7269827230314603E-2</v>
      </c>
      <c r="U9" s="59">
        <f t="shared" si="7"/>
        <v>5.1437192520877403E-2</v>
      </c>
      <c r="V9" s="59">
        <f t="shared" si="8"/>
        <v>7.049847416370271E-2</v>
      </c>
      <c r="W9" s="59">
        <f t="shared" si="9"/>
        <v>4.9260522516324817E-2</v>
      </c>
      <c r="X9" s="59">
        <f t="shared" si="10"/>
        <v>7.1118692493740809E-2</v>
      </c>
      <c r="Y9" s="60">
        <f t="shared" si="11"/>
        <v>5.364503123644538E-2</v>
      </c>
      <c r="Z9" s="60">
        <f t="shared" si="12"/>
        <v>5.4772166398889224E-2</v>
      </c>
      <c r="AB9" s="68"/>
      <c r="AC9" s="59">
        <f t="shared" si="13"/>
        <v>0.33566204691075874</v>
      </c>
      <c r="AD9" s="59">
        <f t="shared" si="0"/>
        <v>0.23805478271762781</v>
      </c>
      <c r="AE9" s="59">
        <f t="shared" si="0"/>
        <v>9.7235634707269814E-2</v>
      </c>
      <c r="AF9" s="59">
        <f t="shared" si="0"/>
        <v>0.25106265916383386</v>
      </c>
      <c r="AG9" s="59">
        <f t="shared" si="0"/>
        <v>0.45100561521602844</v>
      </c>
      <c r="AH9" s="59">
        <f t="shared" si="0"/>
        <v>-4.5121807606365416E-2</v>
      </c>
      <c r="AI9" s="59">
        <f t="shared" si="0"/>
        <v>0.84557063957280332</v>
      </c>
      <c r="AJ9" s="59">
        <f t="shared" si="0"/>
        <v>-0.20636309840156075</v>
      </c>
      <c r="AK9" s="59">
        <f t="shared" si="0"/>
        <v>0.74895037863465297</v>
      </c>
      <c r="AL9" s="60">
        <f t="shared" si="0"/>
        <v>-0.25453746048817261</v>
      </c>
      <c r="AM9" s="65">
        <f t="shared" si="14"/>
        <v>0.24615193904268762</v>
      </c>
      <c r="AO9" s="68"/>
      <c r="AP9" s="59">
        <f t="shared" si="15"/>
        <v>0.22819498566506558</v>
      </c>
      <c r="AQ9" s="59">
        <f t="shared" si="16"/>
        <v>0.15007411306793106</v>
      </c>
      <c r="AR9" s="59">
        <f t="shared" si="17"/>
        <v>2.5549709979689528E-2</v>
      </c>
      <c r="AS9" s="59">
        <f t="shared" si="18"/>
        <v>0.17481703367812362</v>
      </c>
      <c r="AT9" s="59">
        <f t="shared" si="19"/>
        <v>0.37539306966352015</v>
      </c>
      <c r="AU9" s="59">
        <f t="shared" si="20"/>
        <v>-8.9313577460381377E-2</v>
      </c>
      <c r="AV9" s="59">
        <f t="shared" si="21"/>
        <v>0.76643437937672609</v>
      </c>
      <c r="AW9" s="59">
        <f t="shared" si="22"/>
        <v>-0.24908988400185517</v>
      </c>
      <c r="AX9" s="59">
        <f t="shared" si="23"/>
        <v>0.62436182653910377</v>
      </c>
      <c r="AY9" s="59">
        <f t="shared" si="24"/>
        <v>-0.26915437302762024</v>
      </c>
      <c r="AZ9" s="65">
        <f t="shared" si="25"/>
        <v>0.1737267283480303</v>
      </c>
    </row>
    <row r="10" spans="1:52" ht="38.25">
      <c r="A10" s="515" t="s">
        <v>4</v>
      </c>
      <c r="B10" s="495">
        <v>105866714</v>
      </c>
      <c r="C10" s="496">
        <v>261853505</v>
      </c>
      <c r="D10" s="496">
        <v>309020506</v>
      </c>
      <c r="E10" s="496">
        <v>211768380</v>
      </c>
      <c r="F10" s="496">
        <v>152685199</v>
      </c>
      <c r="G10" s="496">
        <v>177560146</v>
      </c>
      <c r="H10" s="496">
        <v>267540699</v>
      </c>
      <c r="I10" s="496">
        <v>821766488</v>
      </c>
      <c r="J10" s="496">
        <v>672859809</v>
      </c>
      <c r="K10" s="496">
        <v>798459148.77999997</v>
      </c>
      <c r="L10" s="497">
        <v>998648851.38999999</v>
      </c>
      <c r="M10" s="463"/>
      <c r="O10" s="58">
        <f t="shared" si="1"/>
        <v>2.7647493397719505E-2</v>
      </c>
      <c r="P10" s="59">
        <f t="shared" si="2"/>
        <v>4.3709995469171155E-2</v>
      </c>
      <c r="Q10" s="59">
        <f t="shared" si="3"/>
        <v>2.8661014144752063E-2</v>
      </c>
      <c r="R10" s="59">
        <f t="shared" si="4"/>
        <v>2.2481946269042541E-2</v>
      </c>
      <c r="S10" s="59">
        <f t="shared" si="5"/>
        <v>1.2899885595293601E-2</v>
      </c>
      <c r="T10" s="59">
        <f t="shared" si="6"/>
        <v>1.2656936578590227E-2</v>
      </c>
      <c r="U10" s="59">
        <f t="shared" si="7"/>
        <v>1.7938097342251925E-2</v>
      </c>
      <c r="V10" s="59">
        <f t="shared" si="8"/>
        <v>4.0917277923554804E-2</v>
      </c>
      <c r="W10" s="59">
        <f t="shared" si="9"/>
        <v>2.9497169188488763E-2</v>
      </c>
      <c r="X10" s="59">
        <f t="shared" si="10"/>
        <v>2.8894535300166817E-2</v>
      </c>
      <c r="Y10" s="60">
        <f t="shared" si="11"/>
        <v>3.6567539073958766E-2</v>
      </c>
      <c r="Z10" s="60">
        <f t="shared" si="12"/>
        <v>2.7442899116635475E-2</v>
      </c>
      <c r="AB10" s="68"/>
      <c r="AC10" s="59">
        <f t="shared" si="13"/>
        <v>1.4734262083547809</v>
      </c>
      <c r="AD10" s="59">
        <f t="shared" si="0"/>
        <v>0.18012743804975995</v>
      </c>
      <c r="AE10" s="59">
        <f t="shared" si="0"/>
        <v>-0.31471091436242749</v>
      </c>
      <c r="AF10" s="59">
        <f t="shared" si="0"/>
        <v>-0.27899906964391941</v>
      </c>
      <c r="AG10" s="59">
        <f t="shared" si="0"/>
        <v>0.16291655748505129</v>
      </c>
      <c r="AH10" s="59">
        <f t="shared" si="0"/>
        <v>0.50676097664393671</v>
      </c>
      <c r="AI10" s="59">
        <f t="shared" si="0"/>
        <v>2.0715569297365111</v>
      </c>
      <c r="AJ10" s="59">
        <f t="shared" si="0"/>
        <v>-0.18120315341941762</v>
      </c>
      <c r="AK10" s="59">
        <f t="shared" si="0"/>
        <v>0.1866649458029972</v>
      </c>
      <c r="AL10" s="60">
        <f t="shared" si="0"/>
        <v>0.25072003109473839</v>
      </c>
      <c r="AM10" s="65">
        <f t="shared" si="14"/>
        <v>0.40572599497420114</v>
      </c>
      <c r="AO10" s="68"/>
      <c r="AP10" s="59">
        <f t="shared" si="15"/>
        <v>1.2744149042342814</v>
      </c>
      <c r="AQ10" s="59">
        <f t="shared" si="16"/>
        <v>9.626329591245697E-2</v>
      </c>
      <c r="AR10" s="59">
        <f t="shared" si="17"/>
        <v>-0.35948304922182217</v>
      </c>
      <c r="AS10" s="59">
        <f t="shared" si="18"/>
        <v>-0.32294024757622253</v>
      </c>
      <c r="AT10" s="59">
        <f t="shared" si="19"/>
        <v>0.10231646038376385</v>
      </c>
      <c r="AU10" s="59">
        <f t="shared" si="20"/>
        <v>0.43702806742548872</v>
      </c>
      <c r="AV10" s="59">
        <f t="shared" si="21"/>
        <v>1.9398515789974264</v>
      </c>
      <c r="AW10" s="59">
        <f t="shared" si="22"/>
        <v>-0.22528446723381357</v>
      </c>
      <c r="AX10" s="59">
        <f t="shared" si="23"/>
        <v>0.10213146262004003</v>
      </c>
      <c r="AY10" s="59">
        <f t="shared" si="24"/>
        <v>0.22619610891641018</v>
      </c>
      <c r="AZ10" s="65">
        <f t="shared" si="25"/>
        <v>0.32704941144580096</v>
      </c>
    </row>
    <row r="11" spans="1:52">
      <c r="A11" s="515" t="s">
        <v>5</v>
      </c>
      <c r="B11" s="495">
        <v>593809512</v>
      </c>
      <c r="C11" s="496">
        <v>696804281</v>
      </c>
      <c r="D11" s="496">
        <v>675619651</v>
      </c>
      <c r="E11" s="496">
        <v>881322465</v>
      </c>
      <c r="F11" s="496">
        <v>1495550970</v>
      </c>
      <c r="G11" s="496">
        <v>1662214162</v>
      </c>
      <c r="H11" s="496">
        <v>2025102649</v>
      </c>
      <c r="I11" s="496">
        <v>2518489256</v>
      </c>
      <c r="J11" s="496">
        <v>2855869180.3600001</v>
      </c>
      <c r="K11" s="496">
        <v>3233380344.7399998</v>
      </c>
      <c r="L11" s="497">
        <v>3033687810.04</v>
      </c>
      <c r="M11" s="463"/>
      <c r="O11" s="58">
        <f t="shared" si="1"/>
        <v>0.15507560348499191</v>
      </c>
      <c r="P11" s="59">
        <f t="shared" si="2"/>
        <v>0.1163143184407979</v>
      </c>
      <c r="Q11" s="59">
        <f t="shared" si="3"/>
        <v>6.2662328220326746E-2</v>
      </c>
      <c r="R11" s="59">
        <f t="shared" si="4"/>
        <v>9.3563752548091114E-2</v>
      </c>
      <c r="S11" s="59">
        <f t="shared" si="5"/>
        <v>0.12635433258288756</v>
      </c>
      <c r="T11" s="59">
        <f t="shared" si="6"/>
        <v>0.11848683222229667</v>
      </c>
      <c r="U11" s="59">
        <f t="shared" si="7"/>
        <v>0.13577929855754106</v>
      </c>
      <c r="V11" s="59">
        <f t="shared" si="8"/>
        <v>0.12540025218847664</v>
      </c>
      <c r="W11" s="59">
        <f t="shared" si="9"/>
        <v>0.12519703995764986</v>
      </c>
      <c r="X11" s="59">
        <f t="shared" si="10"/>
        <v>0.11700914524269231</v>
      </c>
      <c r="Y11" s="60">
        <f t="shared" si="11"/>
        <v>0.11108458932028262</v>
      </c>
      <c r="Z11" s="60">
        <f t="shared" si="12"/>
        <v>0.11699340843327583</v>
      </c>
      <c r="AB11" s="68"/>
      <c r="AC11" s="59">
        <f t="shared" si="13"/>
        <v>0.17344748933560372</v>
      </c>
      <c r="AD11" s="59">
        <f t="shared" si="0"/>
        <v>-3.0402554314961194E-2</v>
      </c>
      <c r="AE11" s="59">
        <f t="shared" si="0"/>
        <v>0.30446540993225191</v>
      </c>
      <c r="AF11" s="59">
        <f t="shared" si="0"/>
        <v>0.69693957591334055</v>
      </c>
      <c r="AG11" s="59">
        <f t="shared" si="0"/>
        <v>0.11143932593617989</v>
      </c>
      <c r="AH11" s="59">
        <f t="shared" si="0"/>
        <v>0.21831632487318453</v>
      </c>
      <c r="AI11" s="59">
        <f t="shared" si="0"/>
        <v>0.24363535707369466</v>
      </c>
      <c r="AJ11" s="59">
        <f t="shared" si="0"/>
        <v>0.13396123233650203</v>
      </c>
      <c r="AK11" s="59">
        <f t="shared" si="0"/>
        <v>0.13218783513480536</v>
      </c>
      <c r="AL11" s="60">
        <f t="shared" si="0"/>
        <v>-6.1759679780591159E-2</v>
      </c>
      <c r="AM11" s="65">
        <f t="shared" si="14"/>
        <v>0.19222303164400106</v>
      </c>
      <c r="AO11" s="68"/>
      <c r="AP11" s="59">
        <f t="shared" si="15"/>
        <v>7.90321741017046E-2</v>
      </c>
      <c r="AQ11" s="59">
        <f t="shared" si="16"/>
        <v>-9.9305670520168365E-2</v>
      </c>
      <c r="AR11" s="59">
        <f t="shared" si="17"/>
        <v>0.21924049904874465</v>
      </c>
      <c r="AS11" s="59">
        <f t="shared" si="18"/>
        <v>0.59352012011770183</v>
      </c>
      <c r="AT11" s="59">
        <f t="shared" si="19"/>
        <v>5.352173018057238E-2</v>
      </c>
      <c r="AU11" s="59">
        <f t="shared" si="20"/>
        <v>0.16193263628645038</v>
      </c>
      <c r="AV11" s="59">
        <f t="shared" si="21"/>
        <v>0.19030949183929424</v>
      </c>
      <c r="AW11" s="59">
        <f t="shared" si="22"/>
        <v>7.2912510489641535E-2</v>
      </c>
      <c r="AX11" s="59">
        <f t="shared" si="23"/>
        <v>5.1535093465965742E-2</v>
      </c>
      <c r="AY11" s="59">
        <f t="shared" si="24"/>
        <v>-8.0156548804501182E-2</v>
      </c>
      <c r="AZ11" s="65">
        <f t="shared" si="25"/>
        <v>0.1242542036205406</v>
      </c>
    </row>
    <row r="12" spans="1:52" ht="38.25">
      <c r="A12" s="515" t="s">
        <v>6</v>
      </c>
      <c r="B12" s="495">
        <v>45841016</v>
      </c>
      <c r="C12" s="496">
        <v>44195227</v>
      </c>
      <c r="D12" s="496">
        <v>729950184</v>
      </c>
      <c r="E12" s="496">
        <v>149137261</v>
      </c>
      <c r="F12" s="496">
        <v>63153974</v>
      </c>
      <c r="G12" s="496">
        <v>205290517</v>
      </c>
      <c r="H12" s="496">
        <v>106023376</v>
      </c>
      <c r="I12" s="496">
        <v>200936886</v>
      </c>
      <c r="J12" s="496">
        <v>246308799</v>
      </c>
      <c r="K12" s="496">
        <v>326893470.60000002</v>
      </c>
      <c r="L12" s="497">
        <v>309903504</v>
      </c>
      <c r="M12" s="463"/>
      <c r="O12" s="58">
        <f t="shared" si="1"/>
        <v>1.1971554980017177E-2</v>
      </c>
      <c r="P12" s="59">
        <f t="shared" si="2"/>
        <v>7.3773050008591285E-3</v>
      </c>
      <c r="Q12" s="59">
        <f t="shared" si="3"/>
        <v>6.7701373023408257E-2</v>
      </c>
      <c r="R12" s="59">
        <f t="shared" si="4"/>
        <v>1.5832844773682332E-2</v>
      </c>
      <c r="S12" s="59">
        <f t="shared" si="5"/>
        <v>5.3356778838016027E-3</v>
      </c>
      <c r="T12" s="59">
        <f t="shared" si="6"/>
        <v>1.4633627603882454E-2</v>
      </c>
      <c r="U12" s="59">
        <f t="shared" si="7"/>
        <v>7.1086666303513558E-3</v>
      </c>
      <c r="V12" s="59">
        <f t="shared" si="8"/>
        <v>1.0005020318564813E-2</v>
      </c>
      <c r="W12" s="59">
        <f t="shared" si="9"/>
        <v>1.0797809914541162E-2</v>
      </c>
      <c r="X12" s="59">
        <f t="shared" si="10"/>
        <v>1.1829578182024503E-2</v>
      </c>
      <c r="Y12" s="60">
        <f t="shared" si="11"/>
        <v>1.1347740976123266E-2</v>
      </c>
      <c r="Z12" s="60">
        <f t="shared" si="12"/>
        <v>1.5812836298841462E-2</v>
      </c>
      <c r="AB12" s="68"/>
      <c r="AC12" s="59">
        <f t="shared" si="13"/>
        <v>-3.5902105660136296E-2</v>
      </c>
      <c r="AD12" s="59">
        <f t="shared" si="0"/>
        <v>15.516493602352128</v>
      </c>
      <c r="AE12" s="59">
        <f t="shared" si="0"/>
        <v>-0.79568843974700609</v>
      </c>
      <c r="AF12" s="59">
        <f t="shared" si="0"/>
        <v>-0.57653792501928813</v>
      </c>
      <c r="AG12" s="59">
        <f t="shared" si="0"/>
        <v>2.2506349798351564</v>
      </c>
      <c r="AH12" s="59">
        <f t="shared" si="0"/>
        <v>-0.48354469778065778</v>
      </c>
      <c r="AI12" s="59">
        <f t="shared" si="0"/>
        <v>0.89521305188395428</v>
      </c>
      <c r="AJ12" s="59">
        <f t="shared" si="0"/>
        <v>0.22580181221679729</v>
      </c>
      <c r="AK12" s="59">
        <f t="shared" si="0"/>
        <v>0.32716927664447759</v>
      </c>
      <c r="AL12" s="60">
        <f t="shared" si="0"/>
        <v>-5.1974016393828926E-2</v>
      </c>
      <c r="AM12" s="65">
        <f t="shared" si="14"/>
        <v>1.7271665538331598</v>
      </c>
      <c r="AO12" s="68"/>
      <c r="AP12" s="59">
        <f t="shared" si="15"/>
        <v>-0.11347320060702182</v>
      </c>
      <c r="AQ12" s="59">
        <f t="shared" si="16"/>
        <v>14.342771576732121</v>
      </c>
      <c r="AR12" s="59">
        <f t="shared" si="17"/>
        <v>-0.80903676955510428</v>
      </c>
      <c r="AS12" s="59">
        <f t="shared" si="18"/>
        <v>-0.60234568975423808</v>
      </c>
      <c r="AT12" s="59">
        <f t="shared" si="19"/>
        <v>2.0812429506728369</v>
      </c>
      <c r="AU12" s="59">
        <f t="shared" si="20"/>
        <v>-0.50744625301290358</v>
      </c>
      <c r="AV12" s="59">
        <f t="shared" si="21"/>
        <v>0.81394817370210037</v>
      </c>
      <c r="AW12" s="59">
        <f t="shared" si="22"/>
        <v>0.15980869733825087</v>
      </c>
      <c r="AX12" s="59">
        <f t="shared" si="23"/>
        <v>0.23262680100722366</v>
      </c>
      <c r="AY12" s="59">
        <f t="shared" si="24"/>
        <v>-7.0562761170420485E-2</v>
      </c>
      <c r="AZ12" s="65">
        <f t="shared" si="25"/>
        <v>1.5527533525352846</v>
      </c>
    </row>
    <row r="13" spans="1:52" ht="38.25">
      <c r="A13" s="515" t="s">
        <v>86</v>
      </c>
      <c r="B13" s="495">
        <v>11465</v>
      </c>
      <c r="C13" s="496">
        <v>58064</v>
      </c>
      <c r="D13" s="496">
        <v>2964845</v>
      </c>
      <c r="E13" s="496">
        <v>3513717</v>
      </c>
      <c r="F13" s="496">
        <v>3166508</v>
      </c>
      <c r="G13" s="496">
        <v>2468950</v>
      </c>
      <c r="H13" s="496">
        <v>1905266</v>
      </c>
      <c r="I13" s="496">
        <v>1910247</v>
      </c>
      <c r="J13" s="496">
        <v>102166752</v>
      </c>
      <c r="K13" s="496">
        <v>221163223.88999999</v>
      </c>
      <c r="L13" s="497">
        <v>279449585</v>
      </c>
      <c r="M13" s="463"/>
      <c r="O13" s="58">
        <f t="shared" si="1"/>
        <v>2.9941281808827477E-6</v>
      </c>
      <c r="P13" s="59">
        <f t="shared" si="2"/>
        <v>9.6923551850946349E-6</v>
      </c>
      <c r="Q13" s="59">
        <f t="shared" si="3"/>
        <v>2.7498325461287486E-4</v>
      </c>
      <c r="R13" s="59">
        <f t="shared" si="4"/>
        <v>3.7302640176319692E-4</v>
      </c>
      <c r="S13" s="59">
        <f t="shared" si="5"/>
        <v>2.6752816385681202E-4</v>
      </c>
      <c r="T13" s="59">
        <f t="shared" si="6"/>
        <v>1.7599300445332109E-4</v>
      </c>
      <c r="U13" s="59">
        <f t="shared" si="7"/>
        <v>1.2774447812473927E-4</v>
      </c>
      <c r="V13" s="59">
        <f t="shared" si="8"/>
        <v>9.5114741892026136E-5</v>
      </c>
      <c r="W13" s="59">
        <f t="shared" si="9"/>
        <v>4.4788378334874998E-3</v>
      </c>
      <c r="X13" s="59">
        <f t="shared" si="10"/>
        <v>8.0034258353135299E-3</v>
      </c>
      <c r="Y13" s="60">
        <f t="shared" si="11"/>
        <v>1.0232609394649315E-2</v>
      </c>
      <c r="Z13" s="60">
        <f t="shared" si="12"/>
        <v>2.1856317810472082E-3</v>
      </c>
      <c r="AB13" s="68"/>
      <c r="AC13" s="59">
        <f t="shared" si="13"/>
        <v>4.0644570431748797</v>
      </c>
      <c r="AD13" s="59">
        <f t="shared" si="0"/>
        <v>50.061673325985119</v>
      </c>
      <c r="AE13" s="59">
        <f t="shared" si="0"/>
        <v>0.18512670982800117</v>
      </c>
      <c r="AF13" s="59">
        <f t="shared" si="0"/>
        <v>-9.8815300150808971E-2</v>
      </c>
      <c r="AG13" s="59">
        <f t="shared" si="0"/>
        <v>-0.22029251149847084</v>
      </c>
      <c r="AH13" s="59">
        <f t="shared" si="0"/>
        <v>-0.22830920026732016</v>
      </c>
      <c r="AI13" s="59">
        <f t="shared" si="0"/>
        <v>2.6143331167407524E-3</v>
      </c>
      <c r="AJ13" s="59">
        <f t="shared" si="0"/>
        <v>52.483529616850596</v>
      </c>
      <c r="AK13" s="59">
        <f t="shared" si="0"/>
        <v>1.164727952690519</v>
      </c>
      <c r="AL13" s="60">
        <f t="shared" si="0"/>
        <v>0.26354454454412335</v>
      </c>
      <c r="AM13" s="65">
        <f t="shared" si="14"/>
        <v>10.767825651427335</v>
      </c>
      <c r="AO13" s="68"/>
      <c r="AP13" s="59">
        <f t="shared" si="15"/>
        <v>3.6569719937240279</v>
      </c>
      <c r="AQ13" s="59">
        <f t="shared" si="16"/>
        <v>46.433045356233272</v>
      </c>
      <c r="AR13" s="59">
        <f t="shared" si="17"/>
        <v>0.10769857914571568</v>
      </c>
      <c r="AS13" s="59">
        <f t="shared" si="18"/>
        <v>-0.15373772199343505</v>
      </c>
      <c r="AT13" s="59">
        <f t="shared" si="19"/>
        <v>-0.26092341421429266</v>
      </c>
      <c r="AU13" s="59">
        <f t="shared" si="20"/>
        <v>-0.2640230562249708</v>
      </c>
      <c r="AV13" s="59">
        <f t="shared" si="21"/>
        <v>-4.0376786833134726E-2</v>
      </c>
      <c r="AW13" s="59">
        <f t="shared" si="22"/>
        <v>49.604153294399282</v>
      </c>
      <c r="AX13" s="59">
        <f t="shared" si="23"/>
        <v>1.0105209925610841</v>
      </c>
      <c r="AY13" s="59">
        <f t="shared" si="24"/>
        <v>0.23876916131776804</v>
      </c>
      <c r="AZ13" s="65">
        <f t="shared" si="25"/>
        <v>10.033209839811532</v>
      </c>
    </row>
    <row r="14" spans="1:52" ht="51">
      <c r="A14" s="515" t="s">
        <v>87</v>
      </c>
      <c r="B14" s="495">
        <v>28831919</v>
      </c>
      <c r="C14" s="496">
        <v>21761065</v>
      </c>
      <c r="D14" s="496">
        <v>29587473</v>
      </c>
      <c r="E14" s="496">
        <v>55565962</v>
      </c>
      <c r="F14" s="496">
        <v>128558797</v>
      </c>
      <c r="G14" s="496">
        <v>38366155</v>
      </c>
      <c r="H14" s="496">
        <v>59155839</v>
      </c>
      <c r="I14" s="496">
        <v>60630717</v>
      </c>
      <c r="J14" s="496">
        <v>126765271</v>
      </c>
      <c r="K14" s="496">
        <v>152899546</v>
      </c>
      <c r="L14" s="497">
        <v>47893956</v>
      </c>
      <c r="M14" s="463"/>
      <c r="O14" s="58">
        <f t="shared" si="1"/>
        <v>7.5295648658376567E-3</v>
      </c>
      <c r="P14" s="59">
        <f t="shared" si="2"/>
        <v>3.6324740146378375E-3</v>
      </c>
      <c r="Q14" s="59">
        <f t="shared" si="3"/>
        <v>2.7441770552290462E-3</v>
      </c>
      <c r="R14" s="59">
        <f t="shared" si="4"/>
        <v>5.8990439085932454E-3</v>
      </c>
      <c r="S14" s="59">
        <f t="shared" si="5"/>
        <v>1.0861522822317402E-2</v>
      </c>
      <c r="T14" s="59">
        <f t="shared" si="6"/>
        <v>2.7348366260036886E-3</v>
      </c>
      <c r="U14" s="59">
        <f t="shared" si="7"/>
        <v>3.9662870072137424E-3</v>
      </c>
      <c r="V14" s="59">
        <f t="shared" si="8"/>
        <v>3.0189158774668831E-3</v>
      </c>
      <c r="W14" s="59">
        <f t="shared" si="9"/>
        <v>5.5572001714128657E-3</v>
      </c>
      <c r="X14" s="59">
        <f t="shared" si="10"/>
        <v>5.5331087833696601E-3</v>
      </c>
      <c r="Y14" s="60">
        <f t="shared" si="11"/>
        <v>1.753733662236503E-3</v>
      </c>
      <c r="Z14" s="60">
        <f t="shared" si="12"/>
        <v>4.8391695267562297E-3</v>
      </c>
      <c r="AB14" s="68"/>
      <c r="AC14" s="59">
        <f t="shared" si="13"/>
        <v>-0.24524396034825158</v>
      </c>
      <c r="AD14" s="59">
        <f t="shared" si="0"/>
        <v>0.35965188284672656</v>
      </c>
      <c r="AE14" s="59">
        <f t="shared" si="0"/>
        <v>0.87802324314753077</v>
      </c>
      <c r="AF14" s="59">
        <f t="shared" si="0"/>
        <v>1.3136249670256768</v>
      </c>
      <c r="AG14" s="59">
        <f t="shared" si="0"/>
        <v>-0.70156725253115115</v>
      </c>
      <c r="AH14" s="59">
        <f t="shared" si="0"/>
        <v>0.54187561927954464</v>
      </c>
      <c r="AI14" s="59">
        <f t="shared" si="0"/>
        <v>2.4932078133487412E-2</v>
      </c>
      <c r="AJ14" s="59">
        <f t="shared" si="0"/>
        <v>1.0907763798999772</v>
      </c>
      <c r="AK14" s="59">
        <f t="shared" si="0"/>
        <v>0.20616273521791317</v>
      </c>
      <c r="AL14" s="60">
        <f t="shared" si="0"/>
        <v>-0.68676194761232323</v>
      </c>
      <c r="AM14" s="65">
        <f t="shared" si="14"/>
        <v>0.27814737450591309</v>
      </c>
      <c r="AO14" s="68"/>
      <c r="AP14" s="59">
        <f t="shared" si="15"/>
        <v>-0.30597145779149559</v>
      </c>
      <c r="AQ14" s="59">
        <f t="shared" si="16"/>
        <v>0.26303008160401897</v>
      </c>
      <c r="AR14" s="59">
        <f t="shared" si="17"/>
        <v>0.75532595863868646</v>
      </c>
      <c r="AS14" s="59">
        <f t="shared" si="18"/>
        <v>1.1726218114618057</v>
      </c>
      <c r="AT14" s="59">
        <f t="shared" si="19"/>
        <v>-0.71711871523792292</v>
      </c>
      <c r="AU14" s="59">
        <f t="shared" si="20"/>
        <v>0.47051760413845645</v>
      </c>
      <c r="AV14" s="59">
        <f t="shared" si="21"/>
        <v>-1.9016004849265467E-2</v>
      </c>
      <c r="AW14" s="59">
        <f t="shared" si="22"/>
        <v>0.97821589544893306</v>
      </c>
      <c r="AX14" s="59">
        <f t="shared" si="23"/>
        <v>0.12024030390815743</v>
      </c>
      <c r="AY14" s="59">
        <f t="shared" si="24"/>
        <v>-0.69290387020816002</v>
      </c>
      <c r="AZ14" s="65">
        <f t="shared" si="25"/>
        <v>0.2024941607113214</v>
      </c>
    </row>
    <row r="15" spans="1:52" ht="38.25">
      <c r="A15" s="515" t="s">
        <v>88</v>
      </c>
      <c r="B15" s="495">
        <v>543776</v>
      </c>
      <c r="C15" s="496">
        <v>92725</v>
      </c>
      <c r="D15" s="496">
        <v>2194293</v>
      </c>
      <c r="E15" s="496">
        <v>1976515</v>
      </c>
      <c r="F15" s="496">
        <v>2216884</v>
      </c>
      <c r="G15" s="496">
        <v>1946822</v>
      </c>
      <c r="H15" s="496">
        <v>1783417</v>
      </c>
      <c r="I15" s="496">
        <v>1703558</v>
      </c>
      <c r="J15" s="496">
        <v>1498098</v>
      </c>
      <c r="K15" s="496">
        <v>278595</v>
      </c>
      <c r="L15" s="497">
        <v>181608</v>
      </c>
      <c r="M15" s="463"/>
      <c r="O15" s="58">
        <f t="shared" si="1"/>
        <v>1.4200916229286498E-4</v>
      </c>
      <c r="P15" s="59">
        <f t="shared" si="2"/>
        <v>1.5478155733981469E-5</v>
      </c>
      <c r="Q15" s="59">
        <f t="shared" si="3"/>
        <v>2.0351614695346605E-4</v>
      </c>
      <c r="R15" s="59">
        <f t="shared" si="4"/>
        <v>2.0983257287965568E-4</v>
      </c>
      <c r="S15" s="59">
        <f t="shared" si="5"/>
        <v>1.8729746016859735E-4</v>
      </c>
      <c r="T15" s="59">
        <f t="shared" si="6"/>
        <v>1.3877439920444864E-4</v>
      </c>
      <c r="U15" s="59">
        <f t="shared" si="7"/>
        <v>1.1957473336730311E-4</v>
      </c>
      <c r="V15" s="59">
        <f t="shared" si="8"/>
        <v>8.4823313146465489E-5</v>
      </c>
      <c r="W15" s="59">
        <f t="shared" si="9"/>
        <v>6.5674379084420303E-5</v>
      </c>
      <c r="X15" s="59">
        <f t="shared" si="10"/>
        <v>1.0081759441606651E-5</v>
      </c>
      <c r="Y15" s="60">
        <f t="shared" si="11"/>
        <v>6.6499426969751013E-6</v>
      </c>
      <c r="Z15" s="60">
        <f t="shared" si="12"/>
        <v>1.0761018408816224E-4</v>
      </c>
      <c r="AB15" s="68"/>
      <c r="AC15" s="59">
        <f t="shared" si="13"/>
        <v>-0.82947941799564529</v>
      </c>
      <c r="AD15" s="59">
        <f t="shared" si="0"/>
        <v>22.664524130493394</v>
      </c>
      <c r="AE15" s="59">
        <f t="shared" si="0"/>
        <v>-9.9247456925761535E-2</v>
      </c>
      <c r="AF15" s="59">
        <f t="shared" si="0"/>
        <v>0.12161253519452164</v>
      </c>
      <c r="AG15" s="59">
        <f t="shared" si="0"/>
        <v>-0.12182053729468934</v>
      </c>
      <c r="AH15" s="59">
        <f t="shared" si="0"/>
        <v>-8.3934227166119979E-2</v>
      </c>
      <c r="AI15" s="59">
        <f t="shared" si="0"/>
        <v>-4.4778646833578462E-2</v>
      </c>
      <c r="AJ15" s="59">
        <f t="shared" si="0"/>
        <v>-0.12060640142572188</v>
      </c>
      <c r="AK15" s="59">
        <f t="shared" si="0"/>
        <v>-0.81403419535971611</v>
      </c>
      <c r="AL15" s="60">
        <f t="shared" si="0"/>
        <v>-0.34812900446885264</v>
      </c>
      <c r="AM15" s="65">
        <f t="shared" si="14"/>
        <v>2.0324106778217828</v>
      </c>
      <c r="AO15" s="68"/>
      <c r="AP15" s="59">
        <f t="shared" si="15"/>
        <v>-0.84319946482358188</v>
      </c>
      <c r="AQ15" s="59">
        <f t="shared" si="16"/>
        <v>20.9828370928875</v>
      </c>
      <c r="AR15" s="59">
        <f t="shared" si="17"/>
        <v>-0.15809651081947995</v>
      </c>
      <c r="AS15" s="59">
        <f t="shared" si="18"/>
        <v>5.325620733826808E-2</v>
      </c>
      <c r="AT15" s="59">
        <f t="shared" si="19"/>
        <v>-0.16758285821940644</v>
      </c>
      <c r="AU15" s="59">
        <f t="shared" si="20"/>
        <v>-0.12632975795391255</v>
      </c>
      <c r="AV15" s="59">
        <f t="shared" si="21"/>
        <v>-8.5737602252659251E-2</v>
      </c>
      <c r="AW15" s="59">
        <f t="shared" si="22"/>
        <v>-0.16795004392631452</v>
      </c>
      <c r="AX15" s="59">
        <f t="shared" si="23"/>
        <v>-0.82728168975547145</v>
      </c>
      <c r="AY15" s="59">
        <f t="shared" si="24"/>
        <v>-0.36091078869495363</v>
      </c>
      <c r="AZ15" s="65">
        <f t="shared" si="25"/>
        <v>1.829900458377999</v>
      </c>
    </row>
    <row r="16" spans="1:52" ht="51">
      <c r="A16" s="515" t="s">
        <v>7</v>
      </c>
      <c r="B16" s="495">
        <v>26622711</v>
      </c>
      <c r="C16" s="496">
        <v>24644212</v>
      </c>
      <c r="D16" s="496">
        <v>18350656</v>
      </c>
      <c r="E16" s="496">
        <v>26307854</v>
      </c>
      <c r="F16" s="496">
        <v>55018066</v>
      </c>
      <c r="G16" s="496">
        <v>69056621</v>
      </c>
      <c r="H16" s="496">
        <v>142384727</v>
      </c>
      <c r="I16" s="496">
        <v>94570727</v>
      </c>
      <c r="J16" s="496">
        <v>72776177</v>
      </c>
      <c r="K16" s="496">
        <v>77857789</v>
      </c>
      <c r="L16" s="497">
        <v>105102176</v>
      </c>
      <c r="M16" s="463"/>
      <c r="O16" s="58">
        <f t="shared" si="1"/>
        <v>6.9526218278758937E-3</v>
      </c>
      <c r="P16" s="59">
        <f t="shared" si="2"/>
        <v>4.1137444192747901E-3</v>
      </c>
      <c r="Q16" s="59">
        <f t="shared" si="3"/>
        <v>1.7019854701211294E-3</v>
      </c>
      <c r="R16" s="59">
        <f t="shared" si="4"/>
        <v>2.7929181877002409E-3</v>
      </c>
      <c r="S16" s="59">
        <f t="shared" si="5"/>
        <v>4.6483009599005897E-3</v>
      </c>
      <c r="T16" s="59">
        <f t="shared" si="6"/>
        <v>4.9225307143458989E-3</v>
      </c>
      <c r="U16" s="59">
        <f t="shared" si="7"/>
        <v>9.5466263731932826E-3</v>
      </c>
      <c r="V16" s="59">
        <f t="shared" si="8"/>
        <v>4.7088519385955156E-3</v>
      </c>
      <c r="W16" s="59">
        <f t="shared" si="9"/>
        <v>3.1903989169018783E-3</v>
      </c>
      <c r="X16" s="59">
        <f t="shared" si="10"/>
        <v>2.8175074906346791E-3</v>
      </c>
      <c r="Y16" s="60">
        <f t="shared" si="11"/>
        <v>3.8485278607076324E-3</v>
      </c>
      <c r="Z16" s="60">
        <f t="shared" si="12"/>
        <v>4.4767285599319577E-3</v>
      </c>
      <c r="AB16" s="68"/>
      <c r="AC16" s="59">
        <f t="shared" si="13"/>
        <v>-7.4316210696949714E-2</v>
      </c>
      <c r="AD16" s="59">
        <f t="shared" si="0"/>
        <v>-0.25537663772734953</v>
      </c>
      <c r="AE16" s="59">
        <f t="shared" si="0"/>
        <v>0.43361926679896357</v>
      </c>
      <c r="AF16" s="59">
        <f t="shared" si="0"/>
        <v>1.0913171405010837</v>
      </c>
      <c r="AG16" s="59">
        <f t="shared" si="0"/>
        <v>0.25516264057700599</v>
      </c>
      <c r="AH16" s="59">
        <f t="shared" si="0"/>
        <v>1.0618548220017892</v>
      </c>
      <c r="AI16" s="59">
        <f t="shared" si="0"/>
        <v>-0.33580848878545799</v>
      </c>
      <c r="AJ16" s="59">
        <f t="shared" si="0"/>
        <v>-0.23045767640128223</v>
      </c>
      <c r="AK16" s="59">
        <f t="shared" si="0"/>
        <v>6.9825212170735451E-2</v>
      </c>
      <c r="AL16" s="60">
        <f t="shared" si="0"/>
        <v>0.34992500236553092</v>
      </c>
      <c r="AM16" s="65">
        <f t="shared" si="14"/>
        <v>0.23657450708040689</v>
      </c>
      <c r="AO16" s="68"/>
      <c r="AP16" s="59">
        <f t="shared" si="15"/>
        <v>-0.14879651558340201</v>
      </c>
      <c r="AQ16" s="59">
        <f t="shared" si="16"/>
        <v>-0.3082922784276354</v>
      </c>
      <c r="AR16" s="59">
        <f t="shared" si="17"/>
        <v>0.33995632002894061</v>
      </c>
      <c r="AS16" s="59">
        <f t="shared" si="18"/>
        <v>0.96386246642979034</v>
      </c>
      <c r="AT16" s="59">
        <f t="shared" si="19"/>
        <v>0.189755559211366</v>
      </c>
      <c r="AU16" s="59">
        <f t="shared" si="20"/>
        <v>0.96643216548694189</v>
      </c>
      <c r="AV16" s="59">
        <f t="shared" si="21"/>
        <v>-0.36428836981762824</v>
      </c>
      <c r="AW16" s="59">
        <f t="shared" si="22"/>
        <v>-0.27188728962180164</v>
      </c>
      <c r="AX16" s="59">
        <f t="shared" si="23"/>
        <v>-6.3850541741102829E-3</v>
      </c>
      <c r="AY16" s="59">
        <f t="shared" si="24"/>
        <v>0.32345588467208919</v>
      </c>
      <c r="AZ16" s="65">
        <f t="shared" si="25"/>
        <v>0.16838128882045503</v>
      </c>
    </row>
    <row r="17" spans="1:52" ht="25.5">
      <c r="A17" s="515" t="s">
        <v>89</v>
      </c>
      <c r="B17" s="495">
        <v>3014</v>
      </c>
      <c r="C17" s="496">
        <v>838</v>
      </c>
      <c r="D17" s="496">
        <v>50129</v>
      </c>
      <c r="E17" s="496"/>
      <c r="F17" s="496">
        <v>568084</v>
      </c>
      <c r="G17" s="496">
        <v>546649</v>
      </c>
      <c r="H17" s="496">
        <v>137855</v>
      </c>
      <c r="I17" s="496">
        <v>358428</v>
      </c>
      <c r="J17" s="496">
        <v>521815</v>
      </c>
      <c r="K17" s="496">
        <v>1817533.9</v>
      </c>
      <c r="L17" s="497">
        <v>788208.9</v>
      </c>
      <c r="M17" s="463"/>
      <c r="O17" s="58">
        <f t="shared" si="1"/>
        <v>7.8711751741653741E-7</v>
      </c>
      <c r="P17" s="59">
        <f t="shared" si="2"/>
        <v>1.3988346729659177E-7</v>
      </c>
      <c r="Q17" s="59">
        <f t="shared" si="3"/>
        <v>4.6493612888662996E-6</v>
      </c>
      <c r="R17" s="59">
        <f t="shared" si="4"/>
        <v>0</v>
      </c>
      <c r="S17" s="59">
        <f t="shared" si="5"/>
        <v>4.7995605707117489E-5</v>
      </c>
      <c r="T17" s="59">
        <f t="shared" si="6"/>
        <v>3.8966524186963495E-5</v>
      </c>
      <c r="U17" s="59">
        <f t="shared" si="7"/>
        <v>9.2429167538212147E-6</v>
      </c>
      <c r="V17" s="59">
        <f t="shared" si="8"/>
        <v>1.7846795051569324E-5</v>
      </c>
      <c r="W17" s="59">
        <f t="shared" si="9"/>
        <v>2.287559032982941E-5</v>
      </c>
      <c r="X17" s="59">
        <f t="shared" si="10"/>
        <v>6.5772679182200531E-5</v>
      </c>
      <c r="Y17" s="60">
        <f t="shared" si="11"/>
        <v>2.8861856406357526E-5</v>
      </c>
      <c r="Z17" s="60">
        <f t="shared" si="12"/>
        <v>2.1558029990130763E-5</v>
      </c>
      <c r="AB17" s="68"/>
      <c r="AC17" s="59">
        <f t="shared" si="13"/>
        <v>-0.72196416721964174</v>
      </c>
      <c r="AD17" s="59">
        <f t="shared" si="0"/>
        <v>58.819809069212411</v>
      </c>
      <c r="AE17" s="59">
        <f t="shared" si="0"/>
        <v>-1</v>
      </c>
      <c r="AF17" s="59" t="str">
        <f t="shared" si="0"/>
        <v/>
      </c>
      <c r="AG17" s="59">
        <f t="shared" si="0"/>
        <v>-3.7732095957640044E-2</v>
      </c>
      <c r="AH17" s="59">
        <f t="shared" si="0"/>
        <v>-0.74781806973030229</v>
      </c>
      <c r="AI17" s="59">
        <f t="shared" si="0"/>
        <v>1.6000362699938342</v>
      </c>
      <c r="AJ17" s="59">
        <f t="shared" si="0"/>
        <v>0.45584329349269592</v>
      </c>
      <c r="AK17" s="59">
        <f t="shared" si="0"/>
        <v>2.4831001408545172</v>
      </c>
      <c r="AL17" s="60">
        <f t="shared" si="0"/>
        <v>-0.56633056472839383</v>
      </c>
      <c r="AM17" s="65">
        <f t="shared" si="14"/>
        <v>6.6983270973241655</v>
      </c>
      <c r="AO17" s="68"/>
      <c r="AP17" s="59">
        <f t="shared" si="15"/>
        <v>-0.74433486640886593</v>
      </c>
      <c r="AQ17" s="59">
        <f t="shared" si="16"/>
        <v>54.568796162761181</v>
      </c>
      <c r="AR17" s="59">
        <f t="shared" si="17"/>
        <v>-1</v>
      </c>
      <c r="AS17" s="59">
        <f t="shared" si="18"/>
        <v>0</v>
      </c>
      <c r="AT17" s="59">
        <f t="shared" si="19"/>
        <v>-8.7876302820193763E-2</v>
      </c>
      <c r="AU17" s="59">
        <f t="shared" si="20"/>
        <v>-0.7594890513409347</v>
      </c>
      <c r="AV17" s="59">
        <f t="shared" si="21"/>
        <v>1.488549263010944</v>
      </c>
      <c r="AW17" s="59">
        <f t="shared" si="22"/>
        <v>0.37746550619045882</v>
      </c>
      <c r="AX17" s="59">
        <f t="shared" si="23"/>
        <v>2.2349773761071026</v>
      </c>
      <c r="AY17" s="59">
        <f t="shared" si="24"/>
        <v>-0.57483388698862137</v>
      </c>
      <c r="AZ17" s="65">
        <f t="shared" si="25"/>
        <v>5.5503254200511076</v>
      </c>
    </row>
    <row r="18" spans="1:52" ht="25.5">
      <c r="A18" s="515" t="s">
        <v>8</v>
      </c>
      <c r="B18" s="495">
        <v>46681878</v>
      </c>
      <c r="C18" s="496">
        <v>61125285</v>
      </c>
      <c r="D18" s="496">
        <v>76540331</v>
      </c>
      <c r="E18" s="496">
        <v>88310013</v>
      </c>
      <c r="F18" s="496">
        <v>166489017</v>
      </c>
      <c r="G18" s="496">
        <v>118594939</v>
      </c>
      <c r="H18" s="496">
        <v>148858292</v>
      </c>
      <c r="I18" s="496">
        <v>230436474</v>
      </c>
      <c r="J18" s="496">
        <v>297536250.00999999</v>
      </c>
      <c r="K18" s="496">
        <v>320343185.86000001</v>
      </c>
      <c r="L18" s="497">
        <v>291498924.81</v>
      </c>
      <c r="M18" s="463"/>
      <c r="O18" s="58">
        <f t="shared" si="1"/>
        <v>1.2191149276609713E-2</v>
      </c>
      <c r="P18" s="59">
        <f t="shared" si="2"/>
        <v>1.0203361342830968E-2</v>
      </c>
      <c r="Q18" s="59">
        <f t="shared" si="3"/>
        <v>7.0989577288278882E-3</v>
      </c>
      <c r="R18" s="59">
        <f t="shared" si="4"/>
        <v>9.3752474627441951E-3</v>
      </c>
      <c r="S18" s="59">
        <f t="shared" si="5"/>
        <v>1.4066126161795757E-2</v>
      </c>
      <c r="T18" s="59">
        <f t="shared" si="6"/>
        <v>8.4537473936565511E-3</v>
      </c>
      <c r="U18" s="59">
        <f t="shared" si="7"/>
        <v>9.9806666502630353E-3</v>
      </c>
      <c r="V18" s="59">
        <f t="shared" si="8"/>
        <v>1.1473859530740574E-2</v>
      </c>
      <c r="W18" s="59">
        <f t="shared" si="9"/>
        <v>1.3043544864563996E-2</v>
      </c>
      <c r="X18" s="59">
        <f t="shared" si="10"/>
        <v>1.1592537334117302E-2</v>
      </c>
      <c r="Y18" s="60">
        <f t="shared" si="11"/>
        <v>1.0673820240387833E-2</v>
      </c>
      <c r="Z18" s="60">
        <f t="shared" si="12"/>
        <v>1.0741183453321619E-2</v>
      </c>
      <c r="AB18" s="68"/>
      <c r="AC18" s="59">
        <f t="shared" si="13"/>
        <v>0.30940072719439438</v>
      </c>
      <c r="AD18" s="59">
        <f t="shared" si="0"/>
        <v>0.25218771577097754</v>
      </c>
      <c r="AE18" s="59">
        <f t="shared" si="0"/>
        <v>0.15377098382289467</v>
      </c>
      <c r="AF18" s="59">
        <f t="shared" si="0"/>
        <v>0.88527904531052437</v>
      </c>
      <c r="AG18" s="59">
        <f t="shared" si="0"/>
        <v>-0.28767109604593322</v>
      </c>
      <c r="AH18" s="59">
        <f t="shared" si="0"/>
        <v>0.25518249981982799</v>
      </c>
      <c r="AI18" s="59">
        <f t="shared" si="0"/>
        <v>0.54802578280288206</v>
      </c>
      <c r="AJ18" s="59">
        <f t="shared" si="0"/>
        <v>0.29118556991112432</v>
      </c>
      <c r="AK18" s="59">
        <f t="shared" si="0"/>
        <v>7.6652629214872148E-2</v>
      </c>
      <c r="AL18" s="60">
        <f t="shared" si="0"/>
        <v>-9.0041749983112984E-2</v>
      </c>
      <c r="AM18" s="65">
        <f t="shared" si="14"/>
        <v>0.23939721078184509</v>
      </c>
      <c r="AO18" s="68"/>
      <c r="AP18" s="59">
        <f t="shared" si="15"/>
        <v>0.20404664569599484</v>
      </c>
      <c r="AQ18" s="59">
        <f t="shared" si="16"/>
        <v>0.16320270856570129</v>
      </c>
      <c r="AR18" s="59">
        <f t="shared" si="17"/>
        <v>7.8391423331988674E-2</v>
      </c>
      <c r="AS18" s="59">
        <f t="shared" si="18"/>
        <v>0.77038129900509378</v>
      </c>
      <c r="AT18" s="59">
        <f t="shared" si="19"/>
        <v>-0.32479087086539604</v>
      </c>
      <c r="AU18" s="59">
        <f t="shared" si="20"/>
        <v>0.19709264438205709</v>
      </c>
      <c r="AV18" s="59">
        <f t="shared" si="21"/>
        <v>0.48164795444379993</v>
      </c>
      <c r="AW18" s="59">
        <f t="shared" si="22"/>
        <v>0.22167240979385405</v>
      </c>
      <c r="AX18" s="59">
        <f t="shared" si="23"/>
        <v>-4.3996271132051845E-5</v>
      </c>
      <c r="AY18" s="59">
        <f t="shared" si="24"/>
        <v>-0.10788406861089506</v>
      </c>
      <c r="AZ18" s="65">
        <f t="shared" si="25"/>
        <v>0.16837161494710667</v>
      </c>
    </row>
    <row r="19" spans="1:52" ht="38.25">
      <c r="A19" s="515" t="s">
        <v>90</v>
      </c>
      <c r="B19" s="495"/>
      <c r="C19" s="496">
        <v>51539</v>
      </c>
      <c r="D19" s="496">
        <v>141000</v>
      </c>
      <c r="E19" s="496">
        <v>106164</v>
      </c>
      <c r="F19" s="496">
        <v>106564</v>
      </c>
      <c r="G19" s="496"/>
      <c r="H19" s="496"/>
      <c r="I19" s="496">
        <v>113486</v>
      </c>
      <c r="J19" s="496">
        <v>1508351</v>
      </c>
      <c r="K19" s="496">
        <v>15824</v>
      </c>
      <c r="L19" s="497">
        <v>1933106</v>
      </c>
      <c r="M19" s="463"/>
      <c r="O19" s="58">
        <f t="shared" si="1"/>
        <v>0</v>
      </c>
      <c r="P19" s="59">
        <f t="shared" si="2"/>
        <v>8.6031670894976645E-6</v>
      </c>
      <c r="Q19" s="59">
        <f t="shared" si="3"/>
        <v>1.3077458990407714E-5</v>
      </c>
      <c r="R19" s="59">
        <f t="shared" si="4"/>
        <v>1.127067857678579E-5</v>
      </c>
      <c r="S19" s="59">
        <f t="shared" si="5"/>
        <v>9.0032525587294638E-6</v>
      </c>
      <c r="T19" s="59">
        <f t="shared" si="6"/>
        <v>0</v>
      </c>
      <c r="U19" s="59">
        <f t="shared" si="7"/>
        <v>0</v>
      </c>
      <c r="V19" s="59">
        <f t="shared" si="8"/>
        <v>5.6506784716104663E-6</v>
      </c>
      <c r="W19" s="59">
        <f t="shared" si="9"/>
        <v>6.6123855292754173E-5</v>
      </c>
      <c r="X19" s="59">
        <f t="shared" si="10"/>
        <v>5.7263684346087926E-7</v>
      </c>
      <c r="Y19" s="60">
        <f t="shared" si="11"/>
        <v>7.0784569662012405E-5</v>
      </c>
      <c r="Z19" s="60">
        <f t="shared" si="12"/>
        <v>1.6826027044114416E-5</v>
      </c>
      <c r="AB19" s="68"/>
      <c r="AC19" s="59" t="str">
        <f t="shared" si="13"/>
        <v/>
      </c>
      <c r="AD19" s="59">
        <f t="shared" si="0"/>
        <v>1.7357923126176296</v>
      </c>
      <c r="AE19" s="59">
        <f t="shared" si="0"/>
        <v>-0.24706382978723407</v>
      </c>
      <c r="AF19" s="59">
        <f t="shared" si="0"/>
        <v>3.767755548020002E-3</v>
      </c>
      <c r="AG19" s="59">
        <f t="shared" si="0"/>
        <v>-1</v>
      </c>
      <c r="AH19" s="59" t="str">
        <f t="shared" si="0"/>
        <v/>
      </c>
      <c r="AI19" s="59" t="str">
        <f t="shared" si="0"/>
        <v/>
      </c>
      <c r="AJ19" s="59">
        <f t="shared" si="0"/>
        <v>12.291075551169307</v>
      </c>
      <c r="AK19" s="59">
        <f t="shared" si="0"/>
        <v>-0.98950907315339731</v>
      </c>
      <c r="AL19" s="60">
        <f t="shared" si="0"/>
        <v>121.16291708796764</v>
      </c>
      <c r="AM19" s="65">
        <f t="shared" si="14"/>
        <v>18.993854257765996</v>
      </c>
      <c r="AO19" s="68"/>
      <c r="AP19" s="59">
        <f t="shared" si="15"/>
        <v>0</v>
      </c>
      <c r="AQ19" s="59">
        <f t="shared" si="16"/>
        <v>1.5413769740990522</v>
      </c>
      <c r="AR19" s="59">
        <f t="shared" si="17"/>
        <v>-0.29625556574187695</v>
      </c>
      <c r="AS19" s="59">
        <f t="shared" si="18"/>
        <v>-5.740655878672174E-2</v>
      </c>
      <c r="AT19" s="59">
        <f t="shared" si="19"/>
        <v>-1</v>
      </c>
      <c r="AU19" s="59">
        <f t="shared" si="20"/>
        <v>0</v>
      </c>
      <c r="AV19" s="59">
        <f t="shared" si="21"/>
        <v>0</v>
      </c>
      <c r="AW19" s="59">
        <f t="shared" si="22"/>
        <v>11.575528007540266</v>
      </c>
      <c r="AX19" s="59">
        <f t="shared" si="23"/>
        <v>-0.99025640675526827</v>
      </c>
      <c r="AY19" s="59">
        <f t="shared" si="24"/>
        <v>118.7675657725173</v>
      </c>
      <c r="AZ19" s="65">
        <f t="shared" si="25"/>
        <v>12.954055222287275</v>
      </c>
    </row>
    <row r="20" spans="1:52" ht="25.5">
      <c r="A20" s="515" t="s">
        <v>9</v>
      </c>
      <c r="B20" s="495">
        <v>6292555</v>
      </c>
      <c r="C20" s="496">
        <v>9593508</v>
      </c>
      <c r="D20" s="496">
        <v>2808650</v>
      </c>
      <c r="E20" s="496">
        <v>43138103</v>
      </c>
      <c r="F20" s="496">
        <v>18390073</v>
      </c>
      <c r="G20" s="496">
        <v>9872626</v>
      </c>
      <c r="H20" s="496">
        <v>19178534</v>
      </c>
      <c r="I20" s="496">
        <v>27794427</v>
      </c>
      <c r="J20" s="496">
        <v>67002067</v>
      </c>
      <c r="K20" s="496">
        <v>22524713</v>
      </c>
      <c r="L20" s="497">
        <v>74019640</v>
      </c>
      <c r="M20" s="463"/>
      <c r="O20" s="58">
        <f t="shared" si="1"/>
        <v>1.6433245752511677E-3</v>
      </c>
      <c r="P20" s="59">
        <f t="shared" si="2"/>
        <v>1.6013999553431879E-3</v>
      </c>
      <c r="Q20" s="59">
        <f t="shared" si="3"/>
        <v>2.6049649073339449E-4</v>
      </c>
      <c r="R20" s="59">
        <f t="shared" si="4"/>
        <v>4.5796663023744289E-3</v>
      </c>
      <c r="S20" s="59">
        <f t="shared" si="5"/>
        <v>1.5537186272331332E-3</v>
      </c>
      <c r="T20" s="59">
        <f t="shared" si="6"/>
        <v>7.0374576706048054E-4</v>
      </c>
      <c r="U20" s="59">
        <f t="shared" si="7"/>
        <v>1.2858843946344334E-3</v>
      </c>
      <c r="V20" s="59">
        <f t="shared" si="8"/>
        <v>1.3839360826855178E-3</v>
      </c>
      <c r="W20" s="59">
        <f t="shared" si="9"/>
        <v>2.9372705574653513E-3</v>
      </c>
      <c r="X20" s="59">
        <f t="shared" si="10"/>
        <v>8.1512136957673351E-4</v>
      </c>
      <c r="Y20" s="60">
        <f t="shared" si="11"/>
        <v>2.7103782016801355E-3</v>
      </c>
      <c r="Z20" s="60">
        <f t="shared" si="12"/>
        <v>1.7704493021852689E-3</v>
      </c>
      <c r="AB20" s="68"/>
      <c r="AC20" s="59">
        <f t="shared" si="13"/>
        <v>0.52458071482887325</v>
      </c>
      <c r="AD20" s="59">
        <f t="shared" si="13"/>
        <v>-0.70723430886803862</v>
      </c>
      <c r="AE20" s="59">
        <f t="shared" si="13"/>
        <v>14.359016965446033</v>
      </c>
      <c r="AF20" s="59">
        <f t="shared" si="13"/>
        <v>-0.57369305275199522</v>
      </c>
      <c r="AG20" s="59">
        <f t="shared" si="13"/>
        <v>-0.46315460520466667</v>
      </c>
      <c r="AH20" s="59">
        <f t="shared" ref="AH20:AK83" si="26">+IF(G20=0,"",H20/G20-1)</f>
        <v>0.94259703547971929</v>
      </c>
      <c r="AI20" s="59">
        <f t="shared" si="26"/>
        <v>0.44924669424680741</v>
      </c>
      <c r="AJ20" s="59">
        <f t="shared" si="26"/>
        <v>1.4106295481464683</v>
      </c>
      <c r="AK20" s="59">
        <f t="shared" si="26"/>
        <v>-0.66382062511593865</v>
      </c>
      <c r="AL20" s="60">
        <f t="shared" ref="AL20:AL83" si="27">+IF(K20=0,"",L20/K20-1)</f>
        <v>2.2861524140174394</v>
      </c>
      <c r="AM20" s="65">
        <f t="shared" si="14"/>
        <v>1.7564320780224705</v>
      </c>
      <c r="AO20" s="68"/>
      <c r="AP20" s="59">
        <f t="shared" si="15"/>
        <v>0.40191330099206746</v>
      </c>
      <c r="AQ20" s="59">
        <f t="shared" si="16"/>
        <v>-0.72803930224620395</v>
      </c>
      <c r="AR20" s="59">
        <f t="shared" si="17"/>
        <v>13.355563104445306</v>
      </c>
      <c r="AS20" s="59">
        <f t="shared" si="18"/>
        <v>-0.59967419734434713</v>
      </c>
      <c r="AT20" s="59">
        <f t="shared" si="19"/>
        <v>-0.49112985660476061</v>
      </c>
      <c r="AU20" s="59">
        <f t="shared" si="20"/>
        <v>0.85269363021310873</v>
      </c>
      <c r="AV20" s="59">
        <f t="shared" si="21"/>
        <v>0.38710441639242665</v>
      </c>
      <c r="AW20" s="59">
        <f t="shared" si="22"/>
        <v>1.2808492271231606</v>
      </c>
      <c r="AX20" s="59">
        <f t="shared" si="23"/>
        <v>-0.6877687611367499</v>
      </c>
      <c r="AY20" s="59">
        <f t="shared" si="24"/>
        <v>2.2217180529582738</v>
      </c>
      <c r="AZ20" s="65">
        <f t="shared" si="25"/>
        <v>1.5993229614792281</v>
      </c>
    </row>
    <row r="21" spans="1:52" ht="38.25">
      <c r="A21" s="515" t="s">
        <v>91</v>
      </c>
      <c r="B21" s="495">
        <v>11797207</v>
      </c>
      <c r="C21" s="496">
        <v>5177557</v>
      </c>
      <c r="D21" s="496">
        <v>12385264</v>
      </c>
      <c r="E21" s="496">
        <v>12864769</v>
      </c>
      <c r="F21" s="496">
        <v>8457452</v>
      </c>
      <c r="G21" s="496">
        <v>55280991</v>
      </c>
      <c r="H21" s="496">
        <v>68873358</v>
      </c>
      <c r="I21" s="496">
        <v>96745763</v>
      </c>
      <c r="J21" s="496">
        <v>175679470</v>
      </c>
      <c r="K21" s="496">
        <v>196414713</v>
      </c>
      <c r="L21" s="497">
        <v>117923425.92</v>
      </c>
      <c r="M21" s="463"/>
      <c r="O21" s="58">
        <f t="shared" si="1"/>
        <v>3.0808852973752479E-3</v>
      </c>
      <c r="P21" s="59">
        <f t="shared" si="2"/>
        <v>8.6426566263214774E-4</v>
      </c>
      <c r="Q21" s="59">
        <f t="shared" si="3"/>
        <v>1.1487076740806597E-3</v>
      </c>
      <c r="R21" s="59">
        <f t="shared" si="4"/>
        <v>1.3657612407557925E-3</v>
      </c>
      <c r="S21" s="59">
        <f t="shared" si="5"/>
        <v>7.1454315115171744E-4</v>
      </c>
      <c r="T21" s="59">
        <f t="shared" si="6"/>
        <v>3.9405689443881009E-3</v>
      </c>
      <c r="U21" s="59">
        <f t="shared" si="7"/>
        <v>4.6178282583158132E-3</v>
      </c>
      <c r="V21" s="59">
        <f t="shared" si="8"/>
        <v>4.8171510160163224E-3</v>
      </c>
      <c r="W21" s="59">
        <f t="shared" si="9"/>
        <v>7.7015256078908348E-3</v>
      </c>
      <c r="X21" s="59">
        <f t="shared" si="10"/>
        <v>7.1078299583919695E-3</v>
      </c>
      <c r="Y21" s="60">
        <f t="shared" si="11"/>
        <v>4.3180037498292386E-3</v>
      </c>
      <c r="Z21" s="60">
        <f t="shared" si="12"/>
        <v>3.6070064146207139E-3</v>
      </c>
      <c r="AB21" s="68"/>
      <c r="AC21" s="59">
        <f t="shared" si="13"/>
        <v>-0.56112010241068078</v>
      </c>
      <c r="AD21" s="59">
        <f t="shared" si="13"/>
        <v>1.3921057749822938</v>
      </c>
      <c r="AE21" s="59">
        <f t="shared" si="13"/>
        <v>3.8715767382915711E-2</v>
      </c>
      <c r="AF21" s="59">
        <f t="shared" si="13"/>
        <v>-0.34258811798330779</v>
      </c>
      <c r="AG21" s="59">
        <f t="shared" si="13"/>
        <v>5.5363647349107037</v>
      </c>
      <c r="AH21" s="59">
        <f t="shared" si="26"/>
        <v>0.24587777379027087</v>
      </c>
      <c r="AI21" s="59">
        <f t="shared" si="26"/>
        <v>0.40469066427688927</v>
      </c>
      <c r="AJ21" s="59">
        <f t="shared" si="26"/>
        <v>0.81588799914679466</v>
      </c>
      <c r="AK21" s="59">
        <f t="shared" si="26"/>
        <v>0.1180288339895379</v>
      </c>
      <c r="AL21" s="60">
        <f t="shared" si="27"/>
        <v>-0.39962020095714523</v>
      </c>
      <c r="AM21" s="65">
        <f t="shared" si="14"/>
        <v>0.72483431271282728</v>
      </c>
      <c r="AO21" s="68"/>
      <c r="AP21" s="59">
        <f t="shared" si="15"/>
        <v>-0.59643227807878696</v>
      </c>
      <c r="AQ21" s="59">
        <f t="shared" si="16"/>
        <v>1.2221140501461161</v>
      </c>
      <c r="AR21" s="59">
        <f t="shared" si="17"/>
        <v>-2.9146866639017111E-2</v>
      </c>
      <c r="AS21" s="59">
        <f t="shared" si="18"/>
        <v>-0.38265388109992282</v>
      </c>
      <c r="AT21" s="59">
        <f t="shared" si="19"/>
        <v>5.1957518722977207</v>
      </c>
      <c r="AU21" s="59">
        <f t="shared" si="20"/>
        <v>0.18821854114243108</v>
      </c>
      <c r="AV21" s="59">
        <f t="shared" si="21"/>
        <v>0.34445890531861534</v>
      </c>
      <c r="AW21" s="59">
        <f t="shared" si="22"/>
        <v>0.71812659584331029</v>
      </c>
      <c r="AX21" s="59">
        <f t="shared" si="23"/>
        <v>3.8384725540575815E-2</v>
      </c>
      <c r="AY21" s="59">
        <f t="shared" si="24"/>
        <v>-0.4113923538795542</v>
      </c>
      <c r="AZ21" s="65">
        <f t="shared" si="25"/>
        <v>0.6287429310591488</v>
      </c>
    </row>
    <row r="22" spans="1:52" ht="25.5">
      <c r="A22" s="515" t="s">
        <v>92</v>
      </c>
      <c r="B22" s="495">
        <v>7512930</v>
      </c>
      <c r="C22" s="496">
        <v>13705316</v>
      </c>
      <c r="D22" s="496">
        <v>17959887</v>
      </c>
      <c r="E22" s="496">
        <v>16152133</v>
      </c>
      <c r="F22" s="496">
        <v>17910049</v>
      </c>
      <c r="G22" s="496">
        <v>22726654</v>
      </c>
      <c r="H22" s="496">
        <v>44146943</v>
      </c>
      <c r="I22" s="496">
        <v>31345167</v>
      </c>
      <c r="J22" s="496">
        <v>31582905</v>
      </c>
      <c r="K22" s="496">
        <v>27591407</v>
      </c>
      <c r="L22" s="497">
        <v>34670853</v>
      </c>
      <c r="M22" s="463"/>
      <c r="O22" s="58">
        <f t="shared" si="1"/>
        <v>1.962030129437368E-3</v>
      </c>
      <c r="P22" s="59">
        <f t="shared" si="2"/>
        <v>2.2877650626198756E-3</v>
      </c>
      <c r="Q22" s="59">
        <f t="shared" si="3"/>
        <v>1.6657424518784158E-3</v>
      </c>
      <c r="R22" s="59">
        <f t="shared" si="4"/>
        <v>1.7147573506319921E-3</v>
      </c>
      <c r="S22" s="59">
        <f t="shared" si="5"/>
        <v>1.5131629301285618E-3</v>
      </c>
      <c r="T22" s="59">
        <f t="shared" si="6"/>
        <v>1.620013414054998E-3</v>
      </c>
      <c r="U22" s="59">
        <f t="shared" si="7"/>
        <v>2.9599689462456221E-3</v>
      </c>
      <c r="V22" s="59">
        <f t="shared" si="8"/>
        <v>1.560734014380054E-3</v>
      </c>
      <c r="W22" s="59">
        <f t="shared" si="9"/>
        <v>1.3845473897950824E-3</v>
      </c>
      <c r="X22" s="59">
        <f t="shared" si="10"/>
        <v>9.9847422972221983E-4</v>
      </c>
      <c r="Y22" s="60">
        <f t="shared" si="11"/>
        <v>1.2695431132177396E-3</v>
      </c>
      <c r="Z22" s="60">
        <f t="shared" si="12"/>
        <v>1.7215217301919936E-3</v>
      </c>
      <c r="AB22" s="68"/>
      <c r="AC22" s="59">
        <f t="shared" si="13"/>
        <v>0.82423049329622389</v>
      </c>
      <c r="AD22" s="59">
        <f t="shared" si="13"/>
        <v>0.3104321709911686</v>
      </c>
      <c r="AE22" s="59">
        <f t="shared" si="13"/>
        <v>-0.10065508764058484</v>
      </c>
      <c r="AF22" s="59">
        <f t="shared" si="13"/>
        <v>0.10883491363029263</v>
      </c>
      <c r="AG22" s="59">
        <f t="shared" si="13"/>
        <v>0.26893310007136217</v>
      </c>
      <c r="AH22" s="59">
        <f t="shared" si="26"/>
        <v>0.94251837512024417</v>
      </c>
      <c r="AI22" s="59">
        <f t="shared" si="26"/>
        <v>-0.28998102994356822</v>
      </c>
      <c r="AJ22" s="59">
        <f t="shared" si="26"/>
        <v>7.5845185319955988E-3</v>
      </c>
      <c r="AK22" s="59">
        <f t="shared" si="26"/>
        <v>-0.1263815978929107</v>
      </c>
      <c r="AL22" s="60">
        <f t="shared" si="27"/>
        <v>0.25658155091547163</v>
      </c>
      <c r="AM22" s="65">
        <f t="shared" si="14"/>
        <v>0.2202097407079695</v>
      </c>
      <c r="AO22" s="68"/>
      <c r="AP22" s="59">
        <f t="shared" si="15"/>
        <v>0.67745332716894158</v>
      </c>
      <c r="AQ22" s="59">
        <f t="shared" si="16"/>
        <v>0.2173081012458602</v>
      </c>
      <c r="AR22" s="59">
        <f t="shared" si="17"/>
        <v>-0.15941217650302353</v>
      </c>
      <c r="AS22" s="59">
        <f t="shared" si="18"/>
        <v>4.1257313954636832E-2</v>
      </c>
      <c r="AT22" s="59">
        <f t="shared" si="19"/>
        <v>0.20280843395975201</v>
      </c>
      <c r="AU22" s="59">
        <f t="shared" si="20"/>
        <v>0.85261861025565588</v>
      </c>
      <c r="AV22" s="59">
        <f t="shared" si="21"/>
        <v>-0.32042594749575826</v>
      </c>
      <c r="AW22" s="59">
        <f t="shared" si="22"/>
        <v>-4.6660499070871775E-2</v>
      </c>
      <c r="AX22" s="59">
        <f t="shared" si="23"/>
        <v>-0.18861483968878123</v>
      </c>
      <c r="AY22" s="59">
        <f t="shared" si="24"/>
        <v>0.2319426969759526</v>
      </c>
      <c r="AZ22" s="65">
        <f t="shared" si="25"/>
        <v>0.15082750208023643</v>
      </c>
    </row>
    <row r="23" spans="1:52" ht="51">
      <c r="A23" s="515" t="s">
        <v>93</v>
      </c>
      <c r="B23" s="495">
        <v>3423</v>
      </c>
      <c r="C23" s="496">
        <v>46920</v>
      </c>
      <c r="D23" s="496">
        <v>13245</v>
      </c>
      <c r="E23" s="496">
        <v>29789</v>
      </c>
      <c r="F23" s="496">
        <v>1408283</v>
      </c>
      <c r="G23" s="496">
        <v>656857</v>
      </c>
      <c r="H23" s="496">
        <v>348925</v>
      </c>
      <c r="I23" s="496">
        <v>1515831</v>
      </c>
      <c r="J23" s="496">
        <v>1008560</v>
      </c>
      <c r="K23" s="496">
        <v>2247567</v>
      </c>
      <c r="L23" s="497">
        <v>1513597</v>
      </c>
      <c r="M23" s="463"/>
      <c r="O23" s="58">
        <f t="shared" si="1"/>
        <v>8.9392941676071914E-7</v>
      </c>
      <c r="P23" s="59">
        <f t="shared" si="2"/>
        <v>7.8321387655800548E-6</v>
      </c>
      <c r="Q23" s="59">
        <f t="shared" si="3"/>
        <v>1.2284464136734055E-6</v>
      </c>
      <c r="R23" s="59">
        <f t="shared" si="4"/>
        <v>3.1624867575060462E-6</v>
      </c>
      <c r="S23" s="59">
        <f t="shared" si="5"/>
        <v>1.1898134006949068E-4</v>
      </c>
      <c r="T23" s="59">
        <f t="shared" si="6"/>
        <v>4.6822429342917081E-5</v>
      </c>
      <c r="U23" s="59">
        <f t="shared" si="7"/>
        <v>2.3394760642175239E-5</v>
      </c>
      <c r="V23" s="59">
        <f t="shared" si="8"/>
        <v>7.547603755793458E-5</v>
      </c>
      <c r="W23" s="59">
        <f t="shared" si="9"/>
        <v>4.4213764232635608E-5</v>
      </c>
      <c r="X23" s="59">
        <f t="shared" si="10"/>
        <v>8.1334660790371454E-5</v>
      </c>
      <c r="Y23" s="60">
        <f t="shared" si="11"/>
        <v>5.5423402693237203E-5</v>
      </c>
      <c r="Z23" s="60">
        <f t="shared" si="12"/>
        <v>4.1705763334752911E-5</v>
      </c>
      <c r="AB23" s="68"/>
      <c r="AC23" s="59">
        <f t="shared" si="13"/>
        <v>12.707274320771253</v>
      </c>
      <c r="AD23" s="59">
        <f t="shared" si="13"/>
        <v>-0.71771099744245526</v>
      </c>
      <c r="AE23" s="59">
        <f t="shared" si="13"/>
        <v>1.2490751226878065</v>
      </c>
      <c r="AF23" s="59">
        <f t="shared" si="13"/>
        <v>46.275269394743027</v>
      </c>
      <c r="AG23" s="59">
        <f t="shared" si="13"/>
        <v>-0.53357599289347379</v>
      </c>
      <c r="AH23" s="59">
        <f t="shared" si="26"/>
        <v>-0.46879610021663776</v>
      </c>
      <c r="AI23" s="59">
        <f t="shared" si="26"/>
        <v>3.3442888872966972</v>
      </c>
      <c r="AJ23" s="59">
        <f t="shared" si="26"/>
        <v>-0.33464878340659343</v>
      </c>
      <c r="AK23" s="59">
        <f t="shared" si="26"/>
        <v>1.2284911160466407</v>
      </c>
      <c r="AL23" s="60">
        <f t="shared" si="27"/>
        <v>-0.32656201127708318</v>
      </c>
      <c r="AM23" s="65">
        <f t="shared" si="14"/>
        <v>6.2423104956309183</v>
      </c>
      <c r="AO23" s="68"/>
      <c r="AP23" s="59">
        <f t="shared" si="15"/>
        <v>11.604390180019545</v>
      </c>
      <c r="AQ23" s="59">
        <f t="shared" si="16"/>
        <v>-0.73777147927771036</v>
      </c>
      <c r="AR23" s="59">
        <f t="shared" si="17"/>
        <v>1.1021358282903133</v>
      </c>
      <c r="AS23" s="59">
        <f t="shared" si="18"/>
        <v>43.394092773728076</v>
      </c>
      <c r="AT23" s="59">
        <f t="shared" si="19"/>
        <v>-0.55788155457724087</v>
      </c>
      <c r="AU23" s="59">
        <f t="shared" si="20"/>
        <v>-0.49338022065396459</v>
      </c>
      <c r="AV23" s="59">
        <f t="shared" si="21"/>
        <v>3.1580100376116933</v>
      </c>
      <c r="AW23" s="59">
        <f t="shared" si="22"/>
        <v>-0.37046909206792833</v>
      </c>
      <c r="AX23" s="59">
        <f t="shared" si="23"/>
        <v>1.0697419114392503</v>
      </c>
      <c r="AY23" s="59">
        <f t="shared" si="24"/>
        <v>-0.33976667772263058</v>
      </c>
      <c r="AZ23" s="65">
        <f t="shared" si="25"/>
        <v>5.7829101706789405</v>
      </c>
    </row>
    <row r="24" spans="1:52" ht="51">
      <c r="A24" s="515" t="s">
        <v>10</v>
      </c>
      <c r="B24" s="495">
        <v>64141195</v>
      </c>
      <c r="C24" s="496">
        <v>77914502</v>
      </c>
      <c r="D24" s="496">
        <v>115914173</v>
      </c>
      <c r="E24" s="496">
        <v>133958663</v>
      </c>
      <c r="F24" s="496">
        <v>377880066</v>
      </c>
      <c r="G24" s="496">
        <v>435411861</v>
      </c>
      <c r="H24" s="496">
        <v>276971258</v>
      </c>
      <c r="I24" s="496">
        <v>352221993</v>
      </c>
      <c r="J24" s="496">
        <v>395583719.99000001</v>
      </c>
      <c r="K24" s="496">
        <v>571790791.78999996</v>
      </c>
      <c r="L24" s="497">
        <v>488849025.66000003</v>
      </c>
      <c r="M24" s="463"/>
      <c r="O24" s="58">
        <f t="shared" si="1"/>
        <v>1.6750716049280034E-2</v>
      </c>
      <c r="P24" s="59">
        <f t="shared" si="2"/>
        <v>1.3005907747550399E-2</v>
      </c>
      <c r="Q24" s="59">
        <f t="shared" si="3"/>
        <v>1.0750800310741312E-2</v>
      </c>
      <c r="R24" s="59">
        <f t="shared" si="4"/>
        <v>1.4221440726130961E-2</v>
      </c>
      <c r="S24" s="59">
        <f t="shared" si="5"/>
        <v>3.1925881827890829E-2</v>
      </c>
      <c r="T24" s="59">
        <f t="shared" si="6"/>
        <v>3.1037259398530477E-2</v>
      </c>
      <c r="U24" s="59">
        <f t="shared" si="7"/>
        <v>1.8570398468645593E-2</v>
      </c>
      <c r="V24" s="59">
        <f t="shared" si="8"/>
        <v>1.753778645007166E-2</v>
      </c>
      <c r="W24" s="59">
        <f t="shared" si="9"/>
        <v>1.7341799525964548E-2</v>
      </c>
      <c r="X24" s="59">
        <f t="shared" si="10"/>
        <v>2.0691890427870476E-2</v>
      </c>
      <c r="Y24" s="60">
        <f t="shared" si="11"/>
        <v>1.790019166617721E-2</v>
      </c>
      <c r="Z24" s="60">
        <f t="shared" si="12"/>
        <v>1.9066733872623042E-2</v>
      </c>
      <c r="AB24" s="68"/>
      <c r="AC24" s="59">
        <f t="shared" si="13"/>
        <v>0.21473418136347466</v>
      </c>
      <c r="AD24" s="59">
        <f t="shared" si="13"/>
        <v>0.48770986176617037</v>
      </c>
      <c r="AE24" s="59">
        <f t="shared" si="13"/>
        <v>0.15567112746428347</v>
      </c>
      <c r="AF24" s="59">
        <f t="shared" si="13"/>
        <v>1.8208706890423354</v>
      </c>
      <c r="AG24" s="59">
        <f t="shared" si="13"/>
        <v>0.15224882224933234</v>
      </c>
      <c r="AH24" s="59">
        <f t="shared" si="26"/>
        <v>-0.36388674078862537</v>
      </c>
      <c r="AI24" s="59">
        <f t="shared" si="26"/>
        <v>0.27169149442936069</v>
      </c>
      <c r="AJ24" s="59">
        <f t="shared" si="26"/>
        <v>0.12310908419054911</v>
      </c>
      <c r="AK24" s="59">
        <f t="shared" si="26"/>
        <v>0.44543560034385221</v>
      </c>
      <c r="AL24" s="60">
        <f t="shared" si="27"/>
        <v>-0.14505614172335557</v>
      </c>
      <c r="AM24" s="65">
        <f t="shared" si="14"/>
        <v>0.31625279783373772</v>
      </c>
      <c r="AO24" s="68"/>
      <c r="AP24" s="59">
        <f t="shared" si="15"/>
        <v>0.11699694838020669</v>
      </c>
      <c r="AQ24" s="59">
        <f t="shared" si="16"/>
        <v>0.38198779541678629</v>
      </c>
      <c r="AR24" s="59">
        <f t="shared" si="17"/>
        <v>8.0167424492273431E-2</v>
      </c>
      <c r="AS24" s="59">
        <f t="shared" si="18"/>
        <v>1.6489536003778151</v>
      </c>
      <c r="AT24" s="59">
        <f t="shared" si="19"/>
        <v>9.220462555807396E-2</v>
      </c>
      <c r="AU24" s="59">
        <f t="shared" si="20"/>
        <v>-0.39332606716143748</v>
      </c>
      <c r="AV24" s="59">
        <f t="shared" si="21"/>
        <v>0.21716260952274191</v>
      </c>
      <c r="AW24" s="59">
        <f t="shared" si="22"/>
        <v>6.2644606103272826E-2</v>
      </c>
      <c r="AX24" s="59">
        <f t="shared" si="23"/>
        <v>0.34246828303506294</v>
      </c>
      <c r="AY24" s="59">
        <f t="shared" si="24"/>
        <v>-0.16181974678760347</v>
      </c>
      <c r="AZ24" s="65">
        <f t="shared" si="25"/>
        <v>0.23874400789371925</v>
      </c>
    </row>
    <row r="25" spans="1:52" ht="38.25">
      <c r="A25" s="515" t="s">
        <v>11</v>
      </c>
      <c r="B25" s="495">
        <v>1829450</v>
      </c>
      <c r="C25" s="496">
        <v>3239662</v>
      </c>
      <c r="D25" s="496">
        <v>2179212</v>
      </c>
      <c r="E25" s="496">
        <v>9281858</v>
      </c>
      <c r="F25" s="496">
        <v>11355900</v>
      </c>
      <c r="G25" s="496">
        <v>11323121</v>
      </c>
      <c r="H25" s="496">
        <v>16704214</v>
      </c>
      <c r="I25" s="496">
        <v>30606475</v>
      </c>
      <c r="J25" s="496">
        <v>115913959</v>
      </c>
      <c r="K25" s="496">
        <v>71632705.060000002</v>
      </c>
      <c r="L25" s="497">
        <v>13649666.68</v>
      </c>
      <c r="M25" s="463"/>
      <c r="O25" s="58">
        <f t="shared" si="1"/>
        <v>4.777677976900081E-4</v>
      </c>
      <c r="P25" s="59">
        <f t="shared" si="2"/>
        <v>5.4078180600120658E-4</v>
      </c>
      <c r="Q25" s="59">
        <f t="shared" si="3"/>
        <v>2.0211741532910903E-4</v>
      </c>
      <c r="R25" s="59">
        <f t="shared" si="4"/>
        <v>9.8538900298941073E-4</v>
      </c>
      <c r="S25" s="59">
        <f t="shared" si="5"/>
        <v>9.5942378037307079E-4</v>
      </c>
      <c r="T25" s="59">
        <f t="shared" si="6"/>
        <v>8.0714072159358981E-4</v>
      </c>
      <c r="U25" s="59">
        <f t="shared" si="7"/>
        <v>1.1199859231802612E-3</v>
      </c>
      <c r="V25" s="59">
        <f t="shared" si="8"/>
        <v>1.5239531693282337E-3</v>
      </c>
      <c r="W25" s="59">
        <f t="shared" si="9"/>
        <v>5.0814948585085574E-3</v>
      </c>
      <c r="X25" s="59">
        <f t="shared" si="10"/>
        <v>2.5922349667670975E-3</v>
      </c>
      <c r="Y25" s="60">
        <f t="shared" si="11"/>
        <v>4.9981003730458114E-4</v>
      </c>
      <c r="Z25" s="60">
        <f t="shared" si="12"/>
        <v>1.3445544980968296E-3</v>
      </c>
      <c r="AB25" s="68"/>
      <c r="AC25" s="59">
        <f t="shared" si="13"/>
        <v>0.77083932329388616</v>
      </c>
      <c r="AD25" s="59">
        <f t="shared" si="13"/>
        <v>-0.32733353047324076</v>
      </c>
      <c r="AE25" s="59">
        <f t="shared" si="13"/>
        <v>3.2592726178086391</v>
      </c>
      <c r="AF25" s="59">
        <f t="shared" si="13"/>
        <v>0.22345116678147847</v>
      </c>
      <c r="AG25" s="59">
        <f t="shared" si="13"/>
        <v>-2.8865171408695156E-3</v>
      </c>
      <c r="AH25" s="59">
        <f t="shared" si="26"/>
        <v>0.47523054818543398</v>
      </c>
      <c r="AI25" s="59">
        <f t="shared" si="26"/>
        <v>0.83226070978257338</v>
      </c>
      <c r="AJ25" s="59">
        <f t="shared" si="26"/>
        <v>2.7872364916247299</v>
      </c>
      <c r="AK25" s="59">
        <f t="shared" si="26"/>
        <v>-0.38201830324853281</v>
      </c>
      <c r="AL25" s="60">
        <f t="shared" si="27"/>
        <v>-0.80944923595211216</v>
      </c>
      <c r="AM25" s="65">
        <f t="shared" si="14"/>
        <v>0.68266032706619872</v>
      </c>
      <c r="AO25" s="68"/>
      <c r="AP25" s="59">
        <f t="shared" si="15"/>
        <v>0.6283579984311598</v>
      </c>
      <c r="AQ25" s="59">
        <f t="shared" si="16"/>
        <v>-0.37513565301740903</v>
      </c>
      <c r="AR25" s="59">
        <f t="shared" si="17"/>
        <v>2.981000670911897</v>
      </c>
      <c r="AS25" s="59">
        <f t="shared" si="18"/>
        <v>0.14888831512956946</v>
      </c>
      <c r="AT25" s="59">
        <f t="shared" si="19"/>
        <v>-5.4846542555713529E-2</v>
      </c>
      <c r="AU25" s="59">
        <f t="shared" si="20"/>
        <v>0.40695686743082149</v>
      </c>
      <c r="AV25" s="59">
        <f t="shared" si="21"/>
        <v>0.75369516633094702</v>
      </c>
      <c r="AW25" s="59">
        <f t="shared" si="22"/>
        <v>2.5833442062869998</v>
      </c>
      <c r="AX25" s="59">
        <f t="shared" si="23"/>
        <v>-0.42604096150137716</v>
      </c>
      <c r="AY25" s="59">
        <f t="shared" si="24"/>
        <v>-0.81318552544324718</v>
      </c>
      <c r="AZ25" s="65">
        <f t="shared" si="25"/>
        <v>0.58330345420036489</v>
      </c>
    </row>
    <row r="26" spans="1:52" ht="51">
      <c r="A26" s="515" t="s">
        <v>12</v>
      </c>
      <c r="B26" s="495">
        <v>9712665</v>
      </c>
      <c r="C26" s="496">
        <v>10905869</v>
      </c>
      <c r="D26" s="496">
        <v>10596373</v>
      </c>
      <c r="E26" s="496">
        <v>16701352</v>
      </c>
      <c r="F26" s="496">
        <v>16150090</v>
      </c>
      <c r="G26" s="496">
        <v>22291992</v>
      </c>
      <c r="H26" s="496">
        <v>25467065</v>
      </c>
      <c r="I26" s="496">
        <v>31787894</v>
      </c>
      <c r="J26" s="496">
        <v>78200352</v>
      </c>
      <c r="K26" s="496">
        <v>32316674.059999999</v>
      </c>
      <c r="L26" s="497">
        <v>38428066.600000001</v>
      </c>
      <c r="M26" s="463"/>
      <c r="O26" s="58">
        <f t="shared" si="1"/>
        <v>2.5364992575641981E-3</v>
      </c>
      <c r="P26" s="59">
        <f t="shared" si="2"/>
        <v>1.8204663121747183E-3</v>
      </c>
      <c r="Q26" s="59">
        <f t="shared" si="3"/>
        <v>9.8279172591889054E-4</v>
      </c>
      <c r="R26" s="59">
        <f t="shared" si="4"/>
        <v>1.7730640347929478E-3</v>
      </c>
      <c r="S26" s="59">
        <f t="shared" si="5"/>
        <v>1.3644696062104567E-3</v>
      </c>
      <c r="T26" s="59">
        <f t="shared" si="6"/>
        <v>1.5890296066463064E-3</v>
      </c>
      <c r="U26" s="59">
        <f t="shared" si="7"/>
        <v>1.7075184923227586E-3</v>
      </c>
      <c r="V26" s="59">
        <f t="shared" si="8"/>
        <v>1.5827782130274704E-3</v>
      </c>
      <c r="W26" s="59">
        <f t="shared" si="9"/>
        <v>3.4281866485257342E-3</v>
      </c>
      <c r="X26" s="59">
        <f t="shared" si="10"/>
        <v>1.1694715763948733E-3</v>
      </c>
      <c r="Y26" s="60">
        <f t="shared" si="11"/>
        <v>1.4071210565919058E-3</v>
      </c>
      <c r="Z26" s="60">
        <f t="shared" si="12"/>
        <v>1.7601269572882056E-3</v>
      </c>
      <c r="AB26" s="68"/>
      <c r="AC26" s="59">
        <f t="shared" si="13"/>
        <v>0.12285031965994908</v>
      </c>
      <c r="AD26" s="59">
        <f t="shared" si="13"/>
        <v>-2.8378848122969424E-2</v>
      </c>
      <c r="AE26" s="59">
        <f t="shared" si="13"/>
        <v>0.57613855231407962</v>
      </c>
      <c r="AF26" s="59">
        <f t="shared" si="13"/>
        <v>-3.3007028413029049E-2</v>
      </c>
      <c r="AG26" s="59">
        <f t="shared" si="13"/>
        <v>0.38030141008502127</v>
      </c>
      <c r="AH26" s="59">
        <f t="shared" si="26"/>
        <v>0.14243110261299208</v>
      </c>
      <c r="AI26" s="59">
        <f t="shared" si="26"/>
        <v>0.24819620949646137</v>
      </c>
      <c r="AJ26" s="59">
        <f t="shared" si="26"/>
        <v>1.4600670934664626</v>
      </c>
      <c r="AK26" s="59">
        <f t="shared" si="26"/>
        <v>-0.58674515864071819</v>
      </c>
      <c r="AL26" s="60">
        <f t="shared" si="27"/>
        <v>0.1891095763336732</v>
      </c>
      <c r="AM26" s="65">
        <f t="shared" si="14"/>
        <v>0.24709632287919225</v>
      </c>
      <c r="AO26" s="68"/>
      <c r="AP26" s="59">
        <f t="shared" si="15"/>
        <v>3.2506041066620028E-2</v>
      </c>
      <c r="AQ26" s="59">
        <f t="shared" si="16"/>
        <v>-9.7425776240566142E-2</v>
      </c>
      <c r="AR26" s="59">
        <f t="shared" si="17"/>
        <v>0.47316436331814149</v>
      </c>
      <c r="AS26" s="59">
        <f t="shared" si="18"/>
        <v>-9.1940114952604901E-2</v>
      </c>
      <c r="AT26" s="59">
        <f t="shared" si="19"/>
        <v>0.30837329199107</v>
      </c>
      <c r="AU26" s="59">
        <f t="shared" si="20"/>
        <v>8.9559382677502297E-2</v>
      </c>
      <c r="AV26" s="59">
        <f t="shared" si="21"/>
        <v>0.19467477938022726</v>
      </c>
      <c r="AW26" s="59">
        <f t="shared" si="22"/>
        <v>1.3276252185319923</v>
      </c>
      <c r="AX26" s="59">
        <f t="shared" si="23"/>
        <v>-0.61618385682243726</v>
      </c>
      <c r="AY26" s="59">
        <f t="shared" si="24"/>
        <v>0.16579370228791479</v>
      </c>
      <c r="AZ26" s="65">
        <f t="shared" si="25"/>
        <v>0.178614703123786</v>
      </c>
    </row>
    <row r="27" spans="1:52" ht="38.25">
      <c r="A27" s="515" t="s">
        <v>94</v>
      </c>
      <c r="B27" s="495">
        <v>4634169</v>
      </c>
      <c r="C27" s="496">
        <v>4368315</v>
      </c>
      <c r="D27" s="496">
        <v>7660683</v>
      </c>
      <c r="E27" s="496">
        <v>11397260</v>
      </c>
      <c r="F27" s="496">
        <v>19278894</v>
      </c>
      <c r="G27" s="496">
        <v>25930013</v>
      </c>
      <c r="H27" s="496">
        <v>39754143</v>
      </c>
      <c r="I27" s="496">
        <v>28957205</v>
      </c>
      <c r="J27" s="496">
        <v>33578708</v>
      </c>
      <c r="K27" s="496">
        <v>38426199.350000001</v>
      </c>
      <c r="L27" s="497">
        <v>52163649</v>
      </c>
      <c r="M27" s="463"/>
      <c r="O27" s="58">
        <f t="shared" si="1"/>
        <v>1.2102307891734166E-3</v>
      </c>
      <c r="P27" s="59">
        <f t="shared" si="2"/>
        <v>7.2918263537435706E-4</v>
      </c>
      <c r="Q27" s="59">
        <f t="shared" si="3"/>
        <v>7.1051253738307473E-4</v>
      </c>
      <c r="R27" s="59">
        <f t="shared" si="4"/>
        <v>1.2099662231647038E-3</v>
      </c>
      <c r="S27" s="59">
        <f t="shared" si="5"/>
        <v>1.6288122793342414E-3</v>
      </c>
      <c r="T27" s="59">
        <f t="shared" si="6"/>
        <v>1.8483569506809266E-3</v>
      </c>
      <c r="U27" s="59">
        <f t="shared" si="7"/>
        <v>2.6654400229843269E-3</v>
      </c>
      <c r="V27" s="59">
        <f t="shared" si="8"/>
        <v>1.4418329564132224E-3</v>
      </c>
      <c r="W27" s="59">
        <f t="shared" si="9"/>
        <v>1.4720404128148203E-3</v>
      </c>
      <c r="X27" s="59">
        <f t="shared" si="10"/>
        <v>1.3905622789422707E-3</v>
      </c>
      <c r="Y27" s="60">
        <f t="shared" si="11"/>
        <v>1.9100770710272815E-3</v>
      </c>
      <c r="Z27" s="60">
        <f t="shared" si="12"/>
        <v>1.4742740142993308E-3</v>
      </c>
      <c r="AB27" s="68"/>
      <c r="AC27" s="59">
        <f t="shared" si="13"/>
        <v>-5.7368214236468318E-2</v>
      </c>
      <c r="AD27" s="59">
        <f t="shared" si="13"/>
        <v>0.75369289989389499</v>
      </c>
      <c r="AE27" s="59">
        <f t="shared" si="13"/>
        <v>0.48776029500241691</v>
      </c>
      <c r="AF27" s="59">
        <f t="shared" si="13"/>
        <v>0.69153761518119272</v>
      </c>
      <c r="AG27" s="59">
        <f t="shared" si="13"/>
        <v>0.34499484254646551</v>
      </c>
      <c r="AH27" s="59">
        <f t="shared" si="26"/>
        <v>0.53313239758113506</v>
      </c>
      <c r="AI27" s="59">
        <f t="shared" si="26"/>
        <v>-0.27159277461974218</v>
      </c>
      <c r="AJ27" s="59">
        <f t="shared" si="26"/>
        <v>0.15959768907254679</v>
      </c>
      <c r="AK27" s="59">
        <f t="shared" si="26"/>
        <v>0.14436205675334501</v>
      </c>
      <c r="AL27" s="60">
        <f t="shared" si="27"/>
        <v>0.35750216993552342</v>
      </c>
      <c r="AM27" s="65">
        <f t="shared" si="14"/>
        <v>0.31436189771103101</v>
      </c>
      <c r="AO27" s="68"/>
      <c r="AP27" s="59">
        <f t="shared" si="15"/>
        <v>-0.13321215102203976</v>
      </c>
      <c r="AQ27" s="59">
        <f t="shared" si="16"/>
        <v>0.6290691127672039</v>
      </c>
      <c r="AR27" s="59">
        <f t="shared" si="17"/>
        <v>0.39056014113694437</v>
      </c>
      <c r="AS27" s="59">
        <f t="shared" si="18"/>
        <v>0.58844738020583409</v>
      </c>
      <c r="AT27" s="59">
        <f t="shared" si="19"/>
        <v>0.2749065653313616</v>
      </c>
      <c r="AU27" s="59">
        <f t="shared" si="20"/>
        <v>0.46217901880535139</v>
      </c>
      <c r="AV27" s="59">
        <f t="shared" si="21"/>
        <v>-0.30282616253803807</v>
      </c>
      <c r="AW27" s="59">
        <f t="shared" si="22"/>
        <v>9.7168785194953866E-2</v>
      </c>
      <c r="AX27" s="59">
        <f t="shared" si="23"/>
        <v>6.2842069985460158E-2</v>
      </c>
      <c r="AY27" s="59">
        <f t="shared" si="24"/>
        <v>0.33088448032894457</v>
      </c>
      <c r="AZ27" s="65">
        <f t="shared" si="25"/>
        <v>0.24000192401959763</v>
      </c>
    </row>
    <row r="28" spans="1:52" ht="25.5">
      <c r="A28" s="515" t="s">
        <v>13</v>
      </c>
      <c r="B28" s="495">
        <v>55889507</v>
      </c>
      <c r="C28" s="496">
        <v>60433466</v>
      </c>
      <c r="D28" s="496">
        <v>71225749</v>
      </c>
      <c r="E28" s="496">
        <v>111907895</v>
      </c>
      <c r="F28" s="496">
        <v>133151437</v>
      </c>
      <c r="G28" s="496">
        <v>134813271</v>
      </c>
      <c r="H28" s="496">
        <v>198012285</v>
      </c>
      <c r="I28" s="496">
        <v>593034183</v>
      </c>
      <c r="J28" s="496">
        <v>320035404.87</v>
      </c>
      <c r="K28" s="496">
        <v>406711487.77999997</v>
      </c>
      <c r="L28" s="497">
        <v>366070976.75</v>
      </c>
      <c r="M28" s="463"/>
      <c r="O28" s="58">
        <f t="shared" si="1"/>
        <v>1.4595756469633108E-2</v>
      </c>
      <c r="P28" s="59">
        <f t="shared" si="2"/>
        <v>1.00878791943087E-2</v>
      </c>
      <c r="Q28" s="59">
        <f t="shared" si="3"/>
        <v>6.6060412170820797E-3</v>
      </c>
      <c r="R28" s="59">
        <f t="shared" si="4"/>
        <v>1.1880467152233277E-2</v>
      </c>
      <c r="S28" s="59">
        <f t="shared" si="5"/>
        <v>1.124954033133849E-2</v>
      </c>
      <c r="T28" s="59">
        <f t="shared" si="6"/>
        <v>9.6098311441988622E-3</v>
      </c>
      <c r="U28" s="59">
        <f t="shared" si="7"/>
        <v>1.3276348819331336E-2</v>
      </c>
      <c r="V28" s="59">
        <f t="shared" si="8"/>
        <v>2.9528272128784179E-2</v>
      </c>
      <c r="W28" s="59">
        <f t="shared" si="9"/>
        <v>1.4029874213748574E-2</v>
      </c>
      <c r="X28" s="59">
        <f t="shared" si="10"/>
        <v>1.4718022153792792E-2</v>
      </c>
      <c r="Y28" s="60">
        <f t="shared" si="11"/>
        <v>1.3404426117864876E-2</v>
      </c>
      <c r="Z28" s="60">
        <f t="shared" si="12"/>
        <v>1.354422354021057E-2</v>
      </c>
      <c r="AB28" s="68"/>
      <c r="AC28" s="59">
        <f t="shared" si="13"/>
        <v>8.1302542174866543E-2</v>
      </c>
      <c r="AD28" s="59">
        <f t="shared" si="13"/>
        <v>0.17858123510572765</v>
      </c>
      <c r="AE28" s="59">
        <f t="shared" si="13"/>
        <v>0.57117189459109796</v>
      </c>
      <c r="AF28" s="59">
        <f t="shared" si="13"/>
        <v>0.1898305923813508</v>
      </c>
      <c r="AG28" s="59">
        <f t="shared" si="13"/>
        <v>1.24807815630259E-2</v>
      </c>
      <c r="AH28" s="59">
        <f t="shared" si="26"/>
        <v>0.46878926333595161</v>
      </c>
      <c r="AI28" s="59">
        <f t="shared" si="26"/>
        <v>1.9949363141786884</v>
      </c>
      <c r="AJ28" s="59">
        <f t="shared" si="26"/>
        <v>-0.46034239839088664</v>
      </c>
      <c r="AK28" s="59">
        <f t="shared" si="26"/>
        <v>0.27083279409416661</v>
      </c>
      <c r="AL28" s="60">
        <f t="shared" si="27"/>
        <v>-9.992466957801649E-2</v>
      </c>
      <c r="AM28" s="65">
        <f t="shared" si="14"/>
        <v>0.32076583494559718</v>
      </c>
      <c r="AO28" s="68"/>
      <c r="AP28" s="59">
        <f t="shared" si="15"/>
        <v>-5.6988117932260662E-3</v>
      </c>
      <c r="AQ28" s="59">
        <f t="shared" si="16"/>
        <v>9.4826971765655133E-2</v>
      </c>
      <c r="AR28" s="59">
        <f t="shared" si="17"/>
        <v>0.46852219328077194</v>
      </c>
      <c r="AS28" s="59">
        <f t="shared" si="18"/>
        <v>0.11731673620185079</v>
      </c>
      <c r="AT28" s="59">
        <f t="shared" si="19"/>
        <v>-4.0280040596559985E-2</v>
      </c>
      <c r="AU28" s="59">
        <f t="shared" si="20"/>
        <v>0.40081368529213512</v>
      </c>
      <c r="AV28" s="59">
        <f t="shared" si="21"/>
        <v>1.8665163803394798</v>
      </c>
      <c r="AW28" s="59">
        <f t="shared" si="22"/>
        <v>-0.48939577858916328</v>
      </c>
      <c r="AX28" s="59">
        <f t="shared" si="23"/>
        <v>0.18030351452973581</v>
      </c>
      <c r="AY28" s="59">
        <f t="shared" si="24"/>
        <v>-0.11757320546864358</v>
      </c>
      <c r="AZ28" s="65">
        <f t="shared" si="25"/>
        <v>0.24753516449620352</v>
      </c>
    </row>
    <row r="29" spans="1:52" ht="51">
      <c r="A29" s="515" t="s">
        <v>95</v>
      </c>
      <c r="B29" s="495">
        <v>14015</v>
      </c>
      <c r="C29" s="496">
        <v>13386</v>
      </c>
      <c r="D29" s="496">
        <v>32069</v>
      </c>
      <c r="E29" s="496">
        <v>250591</v>
      </c>
      <c r="F29" s="496">
        <v>172952</v>
      </c>
      <c r="G29" s="496"/>
      <c r="H29" s="496">
        <v>241368</v>
      </c>
      <c r="I29" s="496">
        <v>19938</v>
      </c>
      <c r="J29" s="496">
        <v>19383</v>
      </c>
      <c r="K29" s="496">
        <v>887312</v>
      </c>
      <c r="L29" s="497">
        <v>500081</v>
      </c>
      <c r="M29" s="463"/>
      <c r="O29" s="58">
        <f t="shared" si="1"/>
        <v>3.6600703406080861E-6</v>
      </c>
      <c r="P29" s="59">
        <f t="shared" si="2"/>
        <v>2.234463118415486E-6</v>
      </c>
      <c r="Q29" s="59">
        <f t="shared" si="3"/>
        <v>2.9743335628608862E-6</v>
      </c>
      <c r="R29" s="59">
        <f t="shared" si="4"/>
        <v>2.6603468362489433E-5</v>
      </c>
      <c r="S29" s="59">
        <f t="shared" si="5"/>
        <v>1.4612162986912824E-5</v>
      </c>
      <c r="T29" s="59">
        <f t="shared" si="6"/>
        <v>0</v>
      </c>
      <c r="U29" s="59">
        <f t="shared" si="7"/>
        <v>1.6183267426181996E-5</v>
      </c>
      <c r="V29" s="59">
        <f t="shared" si="8"/>
        <v>9.9275000763943985E-7</v>
      </c>
      <c r="W29" s="59">
        <f t="shared" si="9"/>
        <v>8.4972177373797893E-7</v>
      </c>
      <c r="X29" s="59">
        <f t="shared" si="10"/>
        <v>3.2109930665126372E-5</v>
      </c>
      <c r="Y29" s="60">
        <f t="shared" si="11"/>
        <v>1.8311473028974526E-5</v>
      </c>
      <c r="Z29" s="60">
        <f t="shared" si="12"/>
        <v>1.0775603752086092E-5</v>
      </c>
      <c r="AB29" s="68"/>
      <c r="AC29" s="59">
        <f t="shared" si="13"/>
        <v>-4.488048519443455E-2</v>
      </c>
      <c r="AD29" s="59">
        <f t="shared" si="13"/>
        <v>1.3957119378455101</v>
      </c>
      <c r="AE29" s="59">
        <f t="shared" si="13"/>
        <v>6.8141195547101558</v>
      </c>
      <c r="AF29" s="59">
        <f t="shared" si="13"/>
        <v>-0.30982357706382113</v>
      </c>
      <c r="AG29" s="59">
        <f t="shared" si="13"/>
        <v>-1</v>
      </c>
      <c r="AH29" s="59" t="str">
        <f t="shared" si="26"/>
        <v/>
      </c>
      <c r="AI29" s="59">
        <f t="shared" si="26"/>
        <v>-0.9173958436909615</v>
      </c>
      <c r="AJ29" s="59">
        <f t="shared" si="26"/>
        <v>-2.7836292506770999E-2</v>
      </c>
      <c r="AK29" s="59">
        <f t="shared" si="26"/>
        <v>44.777846566578958</v>
      </c>
      <c r="AL29" s="60">
        <f t="shared" si="27"/>
        <v>-0.43640906468074359</v>
      </c>
      <c r="AM29" s="65">
        <f t="shared" si="14"/>
        <v>5.5834814217775435</v>
      </c>
      <c r="AO29" s="68"/>
      <c r="AP29" s="59">
        <f t="shared" si="15"/>
        <v>-0.12172918178798575</v>
      </c>
      <c r="AQ29" s="59">
        <f t="shared" si="16"/>
        <v>1.2254639459781793</v>
      </c>
      <c r="AR29" s="59">
        <f t="shared" si="17"/>
        <v>6.3035980509488319</v>
      </c>
      <c r="AS29" s="59">
        <f t="shared" si="18"/>
        <v>-0.35188616495804403</v>
      </c>
      <c r="AT29" s="59">
        <f t="shared" si="19"/>
        <v>-1</v>
      </c>
      <c r="AU29" s="59">
        <f t="shared" si="20"/>
        <v>0</v>
      </c>
      <c r="AV29" s="59">
        <f t="shared" si="21"/>
        <v>-0.92093782895382992</v>
      </c>
      <c r="AW29" s="59">
        <f t="shared" si="22"/>
        <v>-8.0174370807806761E-2</v>
      </c>
      <c r="AX29" s="59">
        <f t="shared" si="23"/>
        <v>41.516807436220823</v>
      </c>
      <c r="AY29" s="59">
        <f t="shared" si="24"/>
        <v>-0.4474598673340624</v>
      </c>
      <c r="AZ29" s="65">
        <f t="shared" si="25"/>
        <v>4.61236820193061</v>
      </c>
    </row>
    <row r="30" spans="1:52" ht="38.25">
      <c r="A30" s="515" t="s">
        <v>96</v>
      </c>
      <c r="B30" s="495">
        <v>11417224</v>
      </c>
      <c r="C30" s="496">
        <v>15701346</v>
      </c>
      <c r="D30" s="496">
        <v>16322997</v>
      </c>
      <c r="E30" s="496">
        <v>17629793</v>
      </c>
      <c r="F30" s="496">
        <v>37741220</v>
      </c>
      <c r="G30" s="496">
        <v>19822516</v>
      </c>
      <c r="H30" s="496">
        <v>18991482</v>
      </c>
      <c r="I30" s="496">
        <v>24436267</v>
      </c>
      <c r="J30" s="496">
        <v>27962523</v>
      </c>
      <c r="K30" s="496">
        <v>36847163</v>
      </c>
      <c r="L30" s="497">
        <v>45150691</v>
      </c>
      <c r="M30" s="463"/>
      <c r="O30" s="58">
        <f t="shared" si="1"/>
        <v>2.9816512975011644E-3</v>
      </c>
      <c r="P30" s="59">
        <f t="shared" si="2"/>
        <v>2.6209531261377947E-3</v>
      </c>
      <c r="Q30" s="59">
        <f t="shared" si="3"/>
        <v>1.5139242827521145E-3</v>
      </c>
      <c r="R30" s="59">
        <f t="shared" si="4"/>
        <v>1.8716300278650774E-3</v>
      </c>
      <c r="S30" s="59">
        <f t="shared" si="5"/>
        <v>3.1886353321437973E-3</v>
      </c>
      <c r="T30" s="59">
        <f t="shared" si="6"/>
        <v>1.4129991075817771E-3</v>
      </c>
      <c r="U30" s="59">
        <f t="shared" si="7"/>
        <v>1.2733429121736175E-3</v>
      </c>
      <c r="V30" s="59">
        <f t="shared" si="8"/>
        <v>1.2167270664524723E-3</v>
      </c>
      <c r="W30" s="59">
        <f t="shared" si="9"/>
        <v>1.2258352495356257E-3</v>
      </c>
      <c r="X30" s="59">
        <f t="shared" si="10"/>
        <v>1.3334203179226809E-3</v>
      </c>
      <c r="Y30" s="60">
        <f t="shared" si="11"/>
        <v>1.6532834890468999E-3</v>
      </c>
      <c r="Z30" s="60">
        <f t="shared" si="12"/>
        <v>1.8447638371920927E-3</v>
      </c>
      <c r="AB30" s="68"/>
      <c r="AC30" s="59">
        <f t="shared" si="13"/>
        <v>0.37523324408805503</v>
      </c>
      <c r="AD30" s="59">
        <f t="shared" si="13"/>
        <v>3.9592210756963064E-2</v>
      </c>
      <c r="AE30" s="59">
        <f t="shared" si="13"/>
        <v>8.0058582379203935E-2</v>
      </c>
      <c r="AF30" s="59">
        <f t="shared" si="13"/>
        <v>1.1407636493519804</v>
      </c>
      <c r="AG30" s="59">
        <f t="shared" si="13"/>
        <v>-0.47477808083575468</v>
      </c>
      <c r="AH30" s="59">
        <f t="shared" si="26"/>
        <v>-4.1923739650405634E-2</v>
      </c>
      <c r="AI30" s="59">
        <f t="shared" si="26"/>
        <v>0.28669616199515136</v>
      </c>
      <c r="AJ30" s="59">
        <f t="shared" si="26"/>
        <v>0.14430420161966628</v>
      </c>
      <c r="AK30" s="59">
        <f t="shared" si="26"/>
        <v>0.31773384683492267</v>
      </c>
      <c r="AL30" s="60">
        <f t="shared" si="27"/>
        <v>0.22535053784195003</v>
      </c>
      <c r="AM30" s="65">
        <f t="shared" si="14"/>
        <v>0.20930306143817323</v>
      </c>
      <c r="AO30" s="68"/>
      <c r="AP30" s="59">
        <f t="shared" si="15"/>
        <v>0.26458229341430362</v>
      </c>
      <c r="AQ30" s="59">
        <f t="shared" si="16"/>
        <v>-3.428498768512489E-2</v>
      </c>
      <c r="AR30" s="59">
        <f t="shared" si="17"/>
        <v>9.4948895964144242E-3</v>
      </c>
      <c r="AS30" s="59">
        <f t="shared" si="18"/>
        <v>1.0102954731448781</v>
      </c>
      <c r="AT30" s="59">
        <f t="shared" si="19"/>
        <v>-0.50214762777032651</v>
      </c>
      <c r="AU30" s="59">
        <f t="shared" si="20"/>
        <v>-8.6263516113236238E-2</v>
      </c>
      <c r="AV30" s="59">
        <f t="shared" si="21"/>
        <v>0.23152389164926435</v>
      </c>
      <c r="AW30" s="59">
        <f t="shared" si="22"/>
        <v>8.2698648518938711E-2</v>
      </c>
      <c r="AX30" s="59">
        <f t="shared" si="23"/>
        <v>0.2238635152177233</v>
      </c>
      <c r="AY30" s="59">
        <f t="shared" si="24"/>
        <v>0.20132405670779407</v>
      </c>
      <c r="AZ30" s="65">
        <f t="shared" si="25"/>
        <v>0.1401086636680629</v>
      </c>
    </row>
    <row r="31" spans="1:52" ht="38.25">
      <c r="A31" s="515" t="s">
        <v>14</v>
      </c>
      <c r="B31" s="495">
        <v>58552341</v>
      </c>
      <c r="C31" s="496">
        <v>67813047</v>
      </c>
      <c r="D31" s="496">
        <v>56390532</v>
      </c>
      <c r="E31" s="496">
        <v>54344123</v>
      </c>
      <c r="F31" s="496">
        <v>74836856</v>
      </c>
      <c r="G31" s="496">
        <v>59643687</v>
      </c>
      <c r="H31" s="496">
        <v>69986231</v>
      </c>
      <c r="I31" s="496">
        <v>92622956</v>
      </c>
      <c r="J31" s="496">
        <v>91483264</v>
      </c>
      <c r="K31" s="496">
        <v>115776878.73999999</v>
      </c>
      <c r="L31" s="497">
        <v>131974430.13</v>
      </c>
      <c r="M31" s="463"/>
      <c r="O31" s="58">
        <f t="shared" si="1"/>
        <v>1.5291165655888036E-2</v>
      </c>
      <c r="P31" s="59">
        <f t="shared" si="2"/>
        <v>1.1319718546905418E-2</v>
      </c>
      <c r="Q31" s="59">
        <f t="shared" si="3"/>
        <v>5.23010545870407E-3</v>
      </c>
      <c r="R31" s="59">
        <f t="shared" si="4"/>
        <v>5.7693299317123688E-3</v>
      </c>
      <c r="S31" s="59">
        <f t="shared" si="5"/>
        <v>6.3227273307051952E-3</v>
      </c>
      <c r="T31" s="59">
        <f t="shared" si="6"/>
        <v>4.2515529564403848E-3</v>
      </c>
      <c r="U31" s="59">
        <f t="shared" si="7"/>
        <v>4.6924442860012457E-3</v>
      </c>
      <c r="V31" s="59">
        <f t="shared" si="8"/>
        <v>4.611868807131483E-3</v>
      </c>
      <c r="W31" s="59">
        <f t="shared" si="9"/>
        <v>4.0104896741175152E-3</v>
      </c>
      <c r="X31" s="59">
        <f t="shared" si="10"/>
        <v>4.1897185533004656E-3</v>
      </c>
      <c r="Y31" s="60">
        <f t="shared" si="11"/>
        <v>4.8325095691293569E-3</v>
      </c>
      <c r="Z31" s="60">
        <f t="shared" si="12"/>
        <v>6.4110573427305032E-3</v>
      </c>
      <c r="AB31" s="68"/>
      <c r="AC31" s="59">
        <f t="shared" si="13"/>
        <v>0.15816115704067246</v>
      </c>
      <c r="AD31" s="59">
        <f t="shared" si="13"/>
        <v>-0.16844125880378147</v>
      </c>
      <c r="AE31" s="59">
        <f t="shared" si="13"/>
        <v>-3.6289939594824183E-2</v>
      </c>
      <c r="AF31" s="59">
        <f t="shared" si="13"/>
        <v>0.3770919810408937</v>
      </c>
      <c r="AG31" s="59">
        <f t="shared" si="13"/>
        <v>-0.20301720050879746</v>
      </c>
      <c r="AH31" s="59">
        <f t="shared" si="26"/>
        <v>0.17340551062847598</v>
      </c>
      <c r="AI31" s="59">
        <f t="shared" si="26"/>
        <v>0.32344540742592631</v>
      </c>
      <c r="AJ31" s="59">
        <f t="shared" si="26"/>
        <v>-1.2304638603846785E-2</v>
      </c>
      <c r="AK31" s="59">
        <f t="shared" si="26"/>
        <v>0.26555255767874653</v>
      </c>
      <c r="AL31" s="60">
        <f t="shared" si="27"/>
        <v>0.13990316172173567</v>
      </c>
      <c r="AM31" s="65">
        <f t="shared" si="14"/>
        <v>0.10175067380252008</v>
      </c>
      <c r="AO31" s="68"/>
      <c r="AP31" s="59">
        <f t="shared" si="15"/>
        <v>6.4975776589124123E-2</v>
      </c>
      <c r="AQ31" s="59">
        <f t="shared" si="16"/>
        <v>-0.22753484329194751</v>
      </c>
      <c r="AR31" s="59">
        <f t="shared" si="17"/>
        <v>-9.9252210108257133E-2</v>
      </c>
      <c r="AS31" s="59">
        <f t="shared" si="18"/>
        <v>0.29316553764756659</v>
      </c>
      <c r="AT31" s="59">
        <f t="shared" si="19"/>
        <v>-0.2445483273350173</v>
      </c>
      <c r="AU31" s="59">
        <f t="shared" si="20"/>
        <v>0.11910029485939355</v>
      </c>
      <c r="AV31" s="59">
        <f t="shared" si="21"/>
        <v>0.2666973654536049</v>
      </c>
      <c r="AW31" s="59">
        <f t="shared" si="22"/>
        <v>-6.5478889775614335E-2</v>
      </c>
      <c r="AX31" s="59">
        <f t="shared" si="23"/>
        <v>0.17539942201053815</v>
      </c>
      <c r="AY31" s="59">
        <f t="shared" si="24"/>
        <v>0.11755211933503484</v>
      </c>
      <c r="AZ31" s="65">
        <f t="shared" si="25"/>
        <v>4.0007624538442588E-2</v>
      </c>
    </row>
    <row r="32" spans="1:52" ht="38.25">
      <c r="A32" s="515" t="s">
        <v>15</v>
      </c>
      <c r="B32" s="495">
        <v>857037295</v>
      </c>
      <c r="C32" s="496">
        <v>982020036</v>
      </c>
      <c r="D32" s="496">
        <v>1736106332</v>
      </c>
      <c r="E32" s="496">
        <v>1525208034</v>
      </c>
      <c r="F32" s="496">
        <v>2481888424</v>
      </c>
      <c r="G32" s="496">
        <v>2776971030</v>
      </c>
      <c r="H32" s="496">
        <v>3124054765</v>
      </c>
      <c r="I32" s="496">
        <v>4234991966</v>
      </c>
      <c r="J32" s="496">
        <v>4861782803.2299995</v>
      </c>
      <c r="K32" s="496">
        <v>5626263367.29</v>
      </c>
      <c r="L32" s="497">
        <v>5175681253.2299995</v>
      </c>
      <c r="M32" s="463"/>
      <c r="O32" s="58">
        <f t="shared" si="1"/>
        <v>0.2238185361558675</v>
      </c>
      <c r="P32" s="59">
        <f t="shared" si="2"/>
        <v>0.16392406633699746</v>
      </c>
      <c r="Q32" s="59">
        <f t="shared" si="3"/>
        <v>0.16102027914693021</v>
      </c>
      <c r="R32" s="59">
        <f t="shared" si="4"/>
        <v>0.16192051461837698</v>
      </c>
      <c r="S32" s="59">
        <f t="shared" si="5"/>
        <v>0.2096868389311497</v>
      </c>
      <c r="T32" s="59">
        <f t="shared" si="6"/>
        <v>0.19794952301566804</v>
      </c>
      <c r="U32" s="59">
        <f t="shared" si="7"/>
        <v>0.20946195732670922</v>
      </c>
      <c r="V32" s="59">
        <f t="shared" si="8"/>
        <v>0.21086810645999932</v>
      </c>
      <c r="W32" s="59">
        <f t="shared" si="9"/>
        <v>0.21313329758496613</v>
      </c>
      <c r="X32" s="59">
        <f t="shared" si="10"/>
        <v>0.2036024832611554</v>
      </c>
      <c r="Y32" s="60">
        <f t="shared" si="11"/>
        <v>0.18951799343524389</v>
      </c>
      <c r="Z32" s="60">
        <f t="shared" si="12"/>
        <v>0.19499123602482402</v>
      </c>
      <c r="AB32" s="68"/>
      <c r="AC32" s="59">
        <f t="shared" si="13"/>
        <v>0.14583115779109712</v>
      </c>
      <c r="AD32" s="59">
        <f t="shared" si="13"/>
        <v>0.76789298421198393</v>
      </c>
      <c r="AE32" s="59">
        <f t="shared" si="13"/>
        <v>-0.12147775404807404</v>
      </c>
      <c r="AF32" s="59">
        <f t="shared" si="13"/>
        <v>0.62724583707510151</v>
      </c>
      <c r="AG32" s="59">
        <f t="shared" si="13"/>
        <v>0.11889438829986654</v>
      </c>
      <c r="AH32" s="59">
        <f t="shared" si="26"/>
        <v>0.12498644431303263</v>
      </c>
      <c r="AI32" s="59">
        <f t="shared" si="26"/>
        <v>0.35560746675962962</v>
      </c>
      <c r="AJ32" s="59">
        <f t="shared" si="26"/>
        <v>0.14800283973667394</v>
      </c>
      <c r="AK32" s="59">
        <f t="shared" si="26"/>
        <v>0.15724284588610304</v>
      </c>
      <c r="AL32" s="60">
        <f t="shared" si="27"/>
        <v>-8.0085499850504172E-2</v>
      </c>
      <c r="AM32" s="65">
        <f t="shared" si="14"/>
        <v>0.22441407101749103</v>
      </c>
      <c r="AO32" s="68"/>
      <c r="AP32" s="59">
        <f t="shared" si="15"/>
        <v>5.3637846244687148E-2</v>
      </c>
      <c r="AQ32" s="59">
        <f t="shared" si="16"/>
        <v>0.64226008751693819</v>
      </c>
      <c r="AR32" s="59">
        <f t="shared" si="17"/>
        <v>-0.17887443130019076</v>
      </c>
      <c r="AS32" s="59">
        <f t="shared" si="18"/>
        <v>0.52807384456296513</v>
      </c>
      <c r="AT32" s="59">
        <f t="shared" si="19"/>
        <v>6.0588305941133846E-2</v>
      </c>
      <c r="AU32" s="59">
        <f t="shared" si="20"/>
        <v>7.2922063293558104E-2</v>
      </c>
      <c r="AV32" s="59">
        <f t="shared" si="21"/>
        <v>0.29748034720485239</v>
      </c>
      <c r="AW32" s="59">
        <f t="shared" si="22"/>
        <v>8.6198164194033478E-2</v>
      </c>
      <c r="AX32" s="59">
        <f t="shared" si="23"/>
        <v>7.4805280845270827E-2</v>
      </c>
      <c r="AY32" s="59">
        <f t="shared" si="24"/>
        <v>-9.8123039069121787E-2</v>
      </c>
      <c r="AZ32" s="65">
        <f t="shared" si="25"/>
        <v>0.15389684694341263</v>
      </c>
    </row>
    <row r="33" spans="1:52" ht="25.5">
      <c r="A33" s="515" t="s">
        <v>97</v>
      </c>
      <c r="B33" s="495">
        <v>11681995</v>
      </c>
      <c r="C33" s="496">
        <v>18662025</v>
      </c>
      <c r="D33" s="496">
        <v>14156750</v>
      </c>
      <c r="E33" s="496">
        <v>40659838</v>
      </c>
      <c r="F33" s="496">
        <v>59084314</v>
      </c>
      <c r="G33" s="496">
        <v>40338704</v>
      </c>
      <c r="H33" s="496">
        <v>84300884</v>
      </c>
      <c r="I33" s="496">
        <v>155591170</v>
      </c>
      <c r="J33" s="496">
        <v>165493994</v>
      </c>
      <c r="K33" s="496">
        <v>173175364</v>
      </c>
      <c r="L33" s="497">
        <v>194972214</v>
      </c>
      <c r="M33" s="463"/>
      <c r="O33" s="58">
        <f t="shared" si="1"/>
        <v>3.0507972471374928E-3</v>
      </c>
      <c r="P33" s="59">
        <f t="shared" si="2"/>
        <v>3.1151655892311192E-3</v>
      </c>
      <c r="Q33" s="59">
        <f t="shared" si="3"/>
        <v>1.3130093444145702E-3</v>
      </c>
      <c r="R33" s="59">
        <f t="shared" si="4"/>
        <v>4.3165664922401262E-3</v>
      </c>
      <c r="S33" s="59">
        <f t="shared" si="5"/>
        <v>4.9918452873510292E-3</v>
      </c>
      <c r="T33" s="59">
        <f t="shared" si="6"/>
        <v>2.8754449108783901E-3</v>
      </c>
      <c r="U33" s="59">
        <f t="shared" si="7"/>
        <v>5.6522146682060053E-3</v>
      </c>
      <c r="V33" s="59">
        <f t="shared" si="8"/>
        <v>7.747172996595917E-3</v>
      </c>
      <c r="W33" s="59">
        <f t="shared" si="9"/>
        <v>7.2550095508776991E-3</v>
      </c>
      <c r="X33" s="59">
        <f t="shared" si="10"/>
        <v>6.2668474346656202E-3</v>
      </c>
      <c r="Y33" s="60">
        <f t="shared" si="11"/>
        <v>7.1393003094707645E-3</v>
      </c>
      <c r="Z33" s="60">
        <f t="shared" si="12"/>
        <v>4.8839430755517029E-3</v>
      </c>
      <c r="AB33" s="68"/>
      <c r="AC33" s="59">
        <f t="shared" si="13"/>
        <v>0.5975032517990293</v>
      </c>
      <c r="AD33" s="59">
        <f t="shared" si="13"/>
        <v>-0.2414140480467688</v>
      </c>
      <c r="AE33" s="59">
        <f t="shared" si="13"/>
        <v>1.872116693450121</v>
      </c>
      <c r="AF33" s="59">
        <f t="shared" si="13"/>
        <v>0.45313697511534601</v>
      </c>
      <c r="AG33" s="59">
        <f t="shared" si="13"/>
        <v>-0.31726881012784547</v>
      </c>
      <c r="AH33" s="59">
        <f t="shared" si="26"/>
        <v>1.0898262869327682</v>
      </c>
      <c r="AI33" s="59">
        <f t="shared" si="26"/>
        <v>0.84566475008731823</v>
      </c>
      <c r="AJ33" s="59">
        <f t="shared" si="26"/>
        <v>6.3646439576230396E-2</v>
      </c>
      <c r="AK33" s="59">
        <f t="shared" si="26"/>
        <v>4.6414796176832862E-2</v>
      </c>
      <c r="AL33" s="60">
        <f t="shared" si="27"/>
        <v>0.12586576691127971</v>
      </c>
      <c r="AM33" s="65">
        <f t="shared" si="14"/>
        <v>0.45354921018743122</v>
      </c>
      <c r="AO33" s="68"/>
      <c r="AP33" s="59">
        <f t="shared" si="15"/>
        <v>0.46896850740140628</v>
      </c>
      <c r="AQ33" s="59">
        <f t="shared" si="16"/>
        <v>-0.29532192108385402</v>
      </c>
      <c r="AR33" s="59">
        <f t="shared" si="17"/>
        <v>1.6844720940743256</v>
      </c>
      <c r="AS33" s="59">
        <f t="shared" si="18"/>
        <v>0.36457599315930711</v>
      </c>
      <c r="AT33" s="59">
        <f t="shared" si="19"/>
        <v>-0.35284623495169132</v>
      </c>
      <c r="AU33" s="59">
        <f t="shared" si="20"/>
        <v>0.99310911081263908</v>
      </c>
      <c r="AV33" s="59">
        <f t="shared" si="21"/>
        <v>0.76652445452461548</v>
      </c>
      <c r="AW33" s="59">
        <f t="shared" si="22"/>
        <v>6.3832335852307409E-3</v>
      </c>
      <c r="AX33" s="59">
        <f t="shared" si="23"/>
        <v>-2.8127801451813039E-2</v>
      </c>
      <c r="AY33" s="59">
        <f t="shared" si="24"/>
        <v>0.10378996756007819</v>
      </c>
      <c r="AZ33" s="65">
        <f t="shared" si="25"/>
        <v>0.37115274036302442</v>
      </c>
    </row>
    <row r="34" spans="1:52" ht="38.25">
      <c r="A34" s="515" t="s">
        <v>98</v>
      </c>
      <c r="B34" s="495">
        <v>7435812</v>
      </c>
      <c r="C34" s="496">
        <v>5499917</v>
      </c>
      <c r="D34" s="496">
        <v>4489422</v>
      </c>
      <c r="E34" s="496">
        <v>6437770</v>
      </c>
      <c r="F34" s="496">
        <v>11576463</v>
      </c>
      <c r="G34" s="496">
        <v>16055184</v>
      </c>
      <c r="H34" s="496">
        <v>16991235</v>
      </c>
      <c r="I34" s="496">
        <v>24427115</v>
      </c>
      <c r="J34" s="496">
        <v>11051217</v>
      </c>
      <c r="K34" s="496">
        <v>22170386</v>
      </c>
      <c r="L34" s="497">
        <v>21477844</v>
      </c>
      <c r="M34" s="463"/>
      <c r="O34" s="58">
        <f t="shared" si="1"/>
        <v>1.9418904716045448E-3</v>
      </c>
      <c r="P34" s="59">
        <f t="shared" si="2"/>
        <v>9.1807572768910393E-4</v>
      </c>
      <c r="Q34" s="59">
        <f t="shared" si="3"/>
        <v>4.1638462479173176E-4</v>
      </c>
      <c r="R34" s="59">
        <f t="shared" si="4"/>
        <v>6.8345236069924139E-4</v>
      </c>
      <c r="S34" s="59">
        <f t="shared" si="5"/>
        <v>9.7805844493250031E-4</v>
      </c>
      <c r="T34" s="59">
        <f t="shared" si="6"/>
        <v>1.1444541482050626E-3</v>
      </c>
      <c r="U34" s="59">
        <f t="shared" si="7"/>
        <v>1.1392301378231723E-3</v>
      </c>
      <c r="V34" s="59">
        <f t="shared" si="8"/>
        <v>1.2162713713942961E-3</v>
      </c>
      <c r="W34" s="59">
        <f t="shared" si="9"/>
        <v>4.8446884956938072E-4</v>
      </c>
      <c r="X34" s="59">
        <f t="shared" si="10"/>
        <v>8.0229903041893758E-4</v>
      </c>
      <c r="Y34" s="60">
        <f t="shared" si="11"/>
        <v>7.8645451662135194E-4</v>
      </c>
      <c r="Z34" s="60">
        <f t="shared" si="12"/>
        <v>9.5554906215902932E-4</v>
      </c>
      <c r="AB34" s="68"/>
      <c r="AC34" s="59">
        <f t="shared" si="13"/>
        <v>-0.26034749130290002</v>
      </c>
      <c r="AD34" s="59">
        <f t="shared" si="13"/>
        <v>-0.18372913627605658</v>
      </c>
      <c r="AE34" s="59">
        <f t="shared" si="13"/>
        <v>0.43398637953839048</v>
      </c>
      <c r="AF34" s="59">
        <f t="shared" si="13"/>
        <v>0.79821009448924074</v>
      </c>
      <c r="AG34" s="59">
        <f t="shared" si="13"/>
        <v>0.38688164079131937</v>
      </c>
      <c r="AH34" s="59">
        <f t="shared" si="26"/>
        <v>5.830210354487364E-2</v>
      </c>
      <c r="AI34" s="59">
        <f t="shared" si="26"/>
        <v>0.43763034293857972</v>
      </c>
      <c r="AJ34" s="59">
        <f t="shared" si="26"/>
        <v>-0.54758402701260467</v>
      </c>
      <c r="AK34" s="59">
        <f t="shared" si="26"/>
        <v>1.006148825057005</v>
      </c>
      <c r="AL34" s="60">
        <f t="shared" si="27"/>
        <v>-3.1237254958032756E-2</v>
      </c>
      <c r="AM34" s="65">
        <f t="shared" si="14"/>
        <v>0.20982614768098151</v>
      </c>
      <c r="AO34" s="68"/>
      <c r="AP34" s="59">
        <f t="shared" si="15"/>
        <v>-0.31985976211760914</v>
      </c>
      <c r="AQ34" s="59">
        <f t="shared" si="16"/>
        <v>-0.24173630866331308</v>
      </c>
      <c r="AR34" s="59">
        <f t="shared" si="17"/>
        <v>0.34029944811514201</v>
      </c>
      <c r="AS34" s="59">
        <f t="shared" si="18"/>
        <v>0.68861873836908716</v>
      </c>
      <c r="AT34" s="59">
        <f t="shared" si="19"/>
        <v>0.31461062395954897</v>
      </c>
      <c r="AU34" s="59">
        <f t="shared" si="20"/>
        <v>9.3238743126822232E-3</v>
      </c>
      <c r="AV34" s="59">
        <f t="shared" si="21"/>
        <v>0.37598616284320419</v>
      </c>
      <c r="AW34" s="59">
        <f t="shared" si="22"/>
        <v>-0.57194060650260636</v>
      </c>
      <c r="AX34" s="59">
        <f t="shared" si="23"/>
        <v>0.86323843694344293</v>
      </c>
      <c r="AY34" s="59">
        <f t="shared" si="24"/>
        <v>-5.0232602900032175E-2</v>
      </c>
      <c r="AZ34" s="65">
        <f t="shared" si="25"/>
        <v>0.14083080043595467</v>
      </c>
    </row>
    <row r="35" spans="1:52" ht="38.25">
      <c r="A35" s="515" t="s">
        <v>99</v>
      </c>
      <c r="B35" s="495">
        <v>1428177</v>
      </c>
      <c r="C35" s="496">
        <v>1093430</v>
      </c>
      <c r="D35" s="496">
        <v>3622075</v>
      </c>
      <c r="E35" s="496">
        <v>1120972</v>
      </c>
      <c r="F35" s="496">
        <v>236345</v>
      </c>
      <c r="G35" s="496">
        <v>7904298</v>
      </c>
      <c r="H35" s="496">
        <v>11484560</v>
      </c>
      <c r="I35" s="496">
        <v>474190</v>
      </c>
      <c r="J35" s="496">
        <v>810141</v>
      </c>
      <c r="K35" s="496">
        <v>19483397</v>
      </c>
      <c r="L35" s="497">
        <v>6282418</v>
      </c>
      <c r="M35" s="463"/>
      <c r="O35" s="58">
        <f t="shared" si="1"/>
        <v>3.7297383366668817E-4</v>
      </c>
      <c r="P35" s="59">
        <f t="shared" si="2"/>
        <v>1.8252121676147056E-4</v>
      </c>
      <c r="Q35" s="59">
        <f t="shared" si="3"/>
        <v>3.3593998065731219E-4</v>
      </c>
      <c r="R35" s="59">
        <f t="shared" si="4"/>
        <v>1.1900564320840135E-4</v>
      </c>
      <c r="S35" s="59">
        <f t="shared" si="5"/>
        <v>1.9968035415270776E-5</v>
      </c>
      <c r="T35" s="59">
        <f t="shared" si="6"/>
        <v>5.6343836574834522E-4</v>
      </c>
      <c r="U35" s="59">
        <f t="shared" si="7"/>
        <v>7.700180046734974E-4</v>
      </c>
      <c r="V35" s="59">
        <f t="shared" si="8"/>
        <v>2.3610799785462232E-5</v>
      </c>
      <c r="W35" s="59">
        <f t="shared" si="9"/>
        <v>3.5515371588394984E-5</v>
      </c>
      <c r="X35" s="59">
        <f t="shared" si="10"/>
        <v>7.0506262373452758E-4</v>
      </c>
      <c r="Y35" s="60">
        <f t="shared" si="11"/>
        <v>2.300433884985514E-4</v>
      </c>
      <c r="Z35" s="60">
        <f t="shared" si="12"/>
        <v>3.0528156943072015E-4</v>
      </c>
      <c r="AB35" s="68"/>
      <c r="AC35" s="59">
        <f t="shared" si="13"/>
        <v>-0.23438761442034151</v>
      </c>
      <c r="AD35" s="59">
        <f t="shared" si="13"/>
        <v>2.312580595008368</v>
      </c>
      <c r="AE35" s="59">
        <f t="shared" si="13"/>
        <v>-0.690516623758481</v>
      </c>
      <c r="AF35" s="59">
        <f t="shared" si="13"/>
        <v>-0.78916065700124538</v>
      </c>
      <c r="AG35" s="59">
        <f t="shared" si="13"/>
        <v>32.443897691933401</v>
      </c>
      <c r="AH35" s="59">
        <f t="shared" si="26"/>
        <v>0.45295129308130844</v>
      </c>
      <c r="AI35" s="59">
        <f t="shared" si="26"/>
        <v>-0.95871065151821222</v>
      </c>
      <c r="AJ35" s="59">
        <f t="shared" si="26"/>
        <v>0.70847339673970344</v>
      </c>
      <c r="AK35" s="59">
        <f t="shared" si="26"/>
        <v>23.049390167884354</v>
      </c>
      <c r="AL35" s="60">
        <f t="shared" si="27"/>
        <v>-0.67755017259053951</v>
      </c>
      <c r="AM35" s="65">
        <f t="shared" si="14"/>
        <v>5.5616967425358315</v>
      </c>
      <c r="AO35" s="68"/>
      <c r="AP35" s="59">
        <f t="shared" si="15"/>
        <v>-0.29598861096123352</v>
      </c>
      <c r="AQ35" s="59">
        <f t="shared" si="16"/>
        <v>2.0771765861666216</v>
      </c>
      <c r="AR35" s="59">
        <f t="shared" si="17"/>
        <v>-0.71073616577108234</v>
      </c>
      <c r="AS35" s="59">
        <f t="shared" si="18"/>
        <v>-0.80201019532467399</v>
      </c>
      <c r="AT35" s="59">
        <f t="shared" si="19"/>
        <v>30.701121364146239</v>
      </c>
      <c r="AU35" s="59">
        <f t="shared" si="20"/>
        <v>0.38570869641880656</v>
      </c>
      <c r="AV35" s="59">
        <f t="shared" si="21"/>
        <v>-0.96048109831375594</v>
      </c>
      <c r="AW35" s="59">
        <f t="shared" si="22"/>
        <v>0.61649484032519974</v>
      </c>
      <c r="AX35" s="59">
        <f t="shared" si="23"/>
        <v>21.336203369447716</v>
      </c>
      <c r="AY35" s="59">
        <f t="shared" si="24"/>
        <v>-0.68387271822601914</v>
      </c>
      <c r="AZ35" s="65">
        <f t="shared" si="25"/>
        <v>5.1663616067907814</v>
      </c>
    </row>
    <row r="36" spans="1:52" ht="25.5">
      <c r="A36" s="515" t="s">
        <v>100</v>
      </c>
      <c r="B36" s="495"/>
      <c r="C36" s="496"/>
      <c r="D36" s="496"/>
      <c r="E36" s="496"/>
      <c r="F36" s="496"/>
      <c r="G36" s="496"/>
      <c r="H36" s="496"/>
      <c r="I36" s="496">
        <v>0</v>
      </c>
      <c r="J36" s="496">
        <v>85765</v>
      </c>
      <c r="K36" s="496">
        <v>153203</v>
      </c>
      <c r="L36" s="497">
        <v>160067</v>
      </c>
      <c r="M36" s="463"/>
      <c r="O36" s="58">
        <f t="shared" si="1"/>
        <v>0</v>
      </c>
      <c r="P36" s="59">
        <f t="shared" si="2"/>
        <v>0</v>
      </c>
      <c r="Q36" s="59">
        <f t="shared" si="3"/>
        <v>0</v>
      </c>
      <c r="R36" s="59">
        <f t="shared" si="4"/>
        <v>0</v>
      </c>
      <c r="S36" s="59">
        <f t="shared" si="5"/>
        <v>0</v>
      </c>
      <c r="T36" s="59">
        <f t="shared" si="6"/>
        <v>0</v>
      </c>
      <c r="U36" s="59">
        <f t="shared" si="7"/>
        <v>0</v>
      </c>
      <c r="V36" s="59">
        <f t="shared" si="8"/>
        <v>0</v>
      </c>
      <c r="W36" s="59">
        <f t="shared" si="9"/>
        <v>3.7598095199214654E-6</v>
      </c>
      <c r="X36" s="59">
        <f t="shared" si="10"/>
        <v>5.544090137053658E-6</v>
      </c>
      <c r="Y36" s="60">
        <f t="shared" si="11"/>
        <v>5.861175596211144E-6</v>
      </c>
      <c r="Z36" s="60">
        <f t="shared" si="12"/>
        <v>1.3786432048351152E-6</v>
      </c>
      <c r="AB36" s="68"/>
      <c r="AC36" s="59" t="str">
        <f t="shared" si="13"/>
        <v/>
      </c>
      <c r="AD36" s="59" t="str">
        <f t="shared" si="13"/>
        <v/>
      </c>
      <c r="AE36" s="59" t="str">
        <f t="shared" si="13"/>
        <v/>
      </c>
      <c r="AF36" s="59" t="str">
        <f t="shared" si="13"/>
        <v/>
      </c>
      <c r="AG36" s="59" t="str">
        <f t="shared" si="13"/>
        <v/>
      </c>
      <c r="AH36" s="59" t="str">
        <f t="shared" si="26"/>
        <v/>
      </c>
      <c r="AI36" s="59" t="str">
        <f t="shared" si="26"/>
        <v/>
      </c>
      <c r="AJ36" s="59" t="str">
        <f t="shared" si="26"/>
        <v/>
      </c>
      <c r="AK36" s="59">
        <f t="shared" si="26"/>
        <v>0.78631143240249513</v>
      </c>
      <c r="AL36" s="60">
        <f t="shared" si="27"/>
        <v>4.4803300196471385E-2</v>
      </c>
      <c r="AM36" s="65">
        <f t="shared" si="14"/>
        <v>0.41555736629948326</v>
      </c>
      <c r="AO36" s="68"/>
      <c r="AP36" s="59">
        <f t="shared" si="15"/>
        <v>0</v>
      </c>
      <c r="AQ36" s="59">
        <f t="shared" si="16"/>
        <v>0</v>
      </c>
      <c r="AR36" s="59">
        <f t="shared" si="17"/>
        <v>0</v>
      </c>
      <c r="AS36" s="59">
        <f t="shared" si="18"/>
        <v>0</v>
      </c>
      <c r="AT36" s="59">
        <f t="shared" si="19"/>
        <v>0</v>
      </c>
      <c r="AU36" s="59">
        <f t="shared" si="20"/>
        <v>0</v>
      </c>
      <c r="AV36" s="59">
        <f t="shared" si="21"/>
        <v>0</v>
      </c>
      <c r="AW36" s="59">
        <f t="shared" si="22"/>
        <v>0</v>
      </c>
      <c r="AX36" s="59">
        <f t="shared" si="23"/>
        <v>0.65906142138246038</v>
      </c>
      <c r="AY36" s="59">
        <f t="shared" si="24"/>
        <v>2.43169609769327E-2</v>
      </c>
      <c r="AZ36" s="65">
        <f t="shared" si="25"/>
        <v>6.8337838235939308E-2</v>
      </c>
    </row>
    <row r="37" spans="1:52" ht="38.25">
      <c r="A37" s="515" t="s">
        <v>101</v>
      </c>
      <c r="B37" s="495">
        <v>14566409</v>
      </c>
      <c r="C37" s="496">
        <v>3285777</v>
      </c>
      <c r="D37" s="496">
        <v>3514373</v>
      </c>
      <c r="E37" s="496">
        <v>17328261</v>
      </c>
      <c r="F37" s="496">
        <v>472180523</v>
      </c>
      <c r="G37" s="496">
        <v>688350708</v>
      </c>
      <c r="H37" s="496">
        <v>22191787</v>
      </c>
      <c r="I37" s="496">
        <v>32026601</v>
      </c>
      <c r="J37" s="496">
        <v>86199980</v>
      </c>
      <c r="K37" s="496">
        <v>33568211</v>
      </c>
      <c r="L37" s="497">
        <v>24328621</v>
      </c>
      <c r="M37" s="463"/>
      <c r="O37" s="58">
        <f t="shared" si="1"/>
        <v>3.8040728897657289E-3</v>
      </c>
      <c r="P37" s="59">
        <f t="shared" si="2"/>
        <v>5.4847956983698494E-4</v>
      </c>
      <c r="Q37" s="59">
        <f t="shared" si="3"/>
        <v>3.2595084244323494E-4</v>
      </c>
      <c r="R37" s="59">
        <f t="shared" si="4"/>
        <v>1.8396185149923958E-3</v>
      </c>
      <c r="S37" s="59">
        <f t="shared" si="5"/>
        <v>3.9893026743383943E-2</v>
      </c>
      <c r="T37" s="59">
        <f t="shared" si="6"/>
        <v>4.9067380553875418E-2</v>
      </c>
      <c r="U37" s="59">
        <f t="shared" si="7"/>
        <v>1.4879173033951025E-3</v>
      </c>
      <c r="V37" s="59">
        <f t="shared" si="8"/>
        <v>1.5946638773906756E-3</v>
      </c>
      <c r="W37" s="59">
        <f t="shared" si="9"/>
        <v>3.7788783935292941E-3</v>
      </c>
      <c r="X37" s="59">
        <f t="shared" si="10"/>
        <v>1.2147620315766409E-3</v>
      </c>
      <c r="Y37" s="60">
        <f t="shared" si="11"/>
        <v>8.90841458231053E-4</v>
      </c>
      <c r="Z37" s="60">
        <f t="shared" si="12"/>
        <v>9.4950538344018617E-3</v>
      </c>
      <c r="AB37" s="68"/>
      <c r="AC37" s="59">
        <f t="shared" si="13"/>
        <v>-0.77442779479829249</v>
      </c>
      <c r="AD37" s="59">
        <f t="shared" si="13"/>
        <v>6.9571367746502633E-2</v>
      </c>
      <c r="AE37" s="59">
        <f t="shared" si="13"/>
        <v>3.930683510259156</v>
      </c>
      <c r="AF37" s="59">
        <f t="shared" si="13"/>
        <v>26.249158066121002</v>
      </c>
      <c r="AG37" s="59">
        <f t="shared" si="13"/>
        <v>0.45781258326066099</v>
      </c>
      <c r="AH37" s="59">
        <f t="shared" si="26"/>
        <v>-0.96776092950571935</v>
      </c>
      <c r="AI37" s="59">
        <f t="shared" si="26"/>
        <v>0.4431735939066106</v>
      </c>
      <c r="AJ37" s="59">
        <f t="shared" si="26"/>
        <v>1.6915119715638882</v>
      </c>
      <c r="AK37" s="59">
        <f t="shared" si="26"/>
        <v>-0.6105775082546423</v>
      </c>
      <c r="AL37" s="60">
        <f t="shared" si="27"/>
        <v>-0.27524821027846846</v>
      </c>
      <c r="AM37" s="65">
        <f t="shared" si="14"/>
        <v>3.0213896650020695</v>
      </c>
      <c r="AO37" s="68"/>
      <c r="AP37" s="59">
        <f t="shared" si="15"/>
        <v>-0.79257728257314253</v>
      </c>
      <c r="AQ37" s="59">
        <f t="shared" si="16"/>
        <v>-6.4362584797932332E-3</v>
      </c>
      <c r="AR37" s="59">
        <f t="shared" si="17"/>
        <v>3.6085461353950423</v>
      </c>
      <c r="AS37" s="59">
        <f t="shared" si="18"/>
        <v>24.588466584769463</v>
      </c>
      <c r="AT37" s="59">
        <f t="shared" si="19"/>
        <v>0.38184532358716528</v>
      </c>
      <c r="AU37" s="59">
        <f t="shared" si="20"/>
        <v>-0.96925295392824729</v>
      </c>
      <c r="AV37" s="59">
        <f t="shared" si="21"/>
        <v>0.38129172464262129</v>
      </c>
      <c r="AW37" s="59">
        <f t="shared" si="22"/>
        <v>1.5466098699629938</v>
      </c>
      <c r="AX37" s="59">
        <f t="shared" si="23"/>
        <v>-0.63831848077890063</v>
      </c>
      <c r="AY37" s="59">
        <f t="shared" si="24"/>
        <v>-0.28945902968477299</v>
      </c>
      <c r="AZ37" s="65">
        <f t="shared" si="25"/>
        <v>2.7810715632912428</v>
      </c>
    </row>
    <row r="38" spans="1:52" ht="25.5">
      <c r="A38" s="515" t="s">
        <v>102</v>
      </c>
      <c r="B38" s="495">
        <v>155358</v>
      </c>
      <c r="C38" s="496">
        <v>227804</v>
      </c>
      <c r="D38" s="496">
        <v>296665</v>
      </c>
      <c r="E38" s="496">
        <v>178578</v>
      </c>
      <c r="F38" s="496">
        <v>220256</v>
      </c>
      <c r="G38" s="496">
        <v>1086149</v>
      </c>
      <c r="H38" s="496">
        <v>279339</v>
      </c>
      <c r="I38" s="496">
        <v>606379</v>
      </c>
      <c r="J38" s="496">
        <v>128156</v>
      </c>
      <c r="K38" s="496">
        <v>80220</v>
      </c>
      <c r="L38" s="497"/>
      <c r="M38" s="463"/>
      <c r="O38" s="58">
        <f t="shared" si="1"/>
        <v>4.0572330215925158E-5</v>
      </c>
      <c r="P38" s="59">
        <f t="shared" si="2"/>
        <v>3.8026268954693069E-5</v>
      </c>
      <c r="Q38" s="59">
        <f t="shared" si="3"/>
        <v>2.7515066463753931E-5</v>
      </c>
      <c r="R38" s="59">
        <f t="shared" si="4"/>
        <v>1.8958359131958601E-5</v>
      </c>
      <c r="S38" s="59">
        <f t="shared" si="5"/>
        <v>1.8608727108362267E-5</v>
      </c>
      <c r="T38" s="59">
        <f t="shared" si="6"/>
        <v>7.7423449561137429E-5</v>
      </c>
      <c r="U38" s="59">
        <f t="shared" si="7"/>
        <v>1.8729151086980264E-5</v>
      </c>
      <c r="V38" s="59">
        <f t="shared" si="8"/>
        <v>3.0192735323623028E-5</v>
      </c>
      <c r="W38" s="59">
        <f t="shared" si="9"/>
        <v>5.6181676538804324E-6</v>
      </c>
      <c r="X38" s="59">
        <f t="shared" si="10"/>
        <v>2.9029908735105997E-6</v>
      </c>
      <c r="Y38" s="60">
        <f t="shared" si="11"/>
        <v>0</v>
      </c>
      <c r="Z38" s="60">
        <f t="shared" si="12"/>
        <v>2.5322476943074982E-5</v>
      </c>
      <c r="AB38" s="68"/>
      <c r="AC38" s="59">
        <f t="shared" si="13"/>
        <v>0.46631650767903809</v>
      </c>
      <c r="AD38" s="59">
        <f t="shared" si="13"/>
        <v>0.3022817860968201</v>
      </c>
      <c r="AE38" s="59">
        <f t="shared" si="13"/>
        <v>-0.39804830364215527</v>
      </c>
      <c r="AF38" s="59">
        <f t="shared" si="13"/>
        <v>0.2333882113138237</v>
      </c>
      <c r="AG38" s="59">
        <f t="shared" si="13"/>
        <v>3.9313026659886674</v>
      </c>
      <c r="AH38" s="59">
        <f t="shared" si="26"/>
        <v>-0.74281705364549433</v>
      </c>
      <c r="AI38" s="59">
        <f t="shared" si="26"/>
        <v>1.1707638389197355</v>
      </c>
      <c r="AJ38" s="59">
        <f t="shared" si="26"/>
        <v>-0.78865363081505135</v>
      </c>
      <c r="AK38" s="59">
        <f t="shared" si="26"/>
        <v>-0.37404413371203848</v>
      </c>
      <c r="AL38" s="60">
        <f t="shared" si="27"/>
        <v>-1</v>
      </c>
      <c r="AM38" s="65">
        <f t="shared" si="14"/>
        <v>0.28004898881833445</v>
      </c>
      <c r="AO38" s="68"/>
      <c r="AP38" s="59">
        <f t="shared" si="15"/>
        <v>0.34833701855543753</v>
      </c>
      <c r="AQ38" s="59">
        <f t="shared" si="16"/>
        <v>0.20973691230545288</v>
      </c>
      <c r="AR38" s="59">
        <f t="shared" si="17"/>
        <v>-0.43737573945429975</v>
      </c>
      <c r="AS38" s="59">
        <f t="shared" si="18"/>
        <v>0.15821974956692997</v>
      </c>
      <c r="AT38" s="59">
        <f t="shared" si="19"/>
        <v>3.6743302989935476</v>
      </c>
      <c r="AU38" s="59">
        <f t="shared" si="20"/>
        <v>-0.7547194823177692</v>
      </c>
      <c r="AV38" s="59">
        <f t="shared" si="21"/>
        <v>1.077683613054877</v>
      </c>
      <c r="AW38" s="59">
        <f t="shared" si="22"/>
        <v>-0.80003182024321251</v>
      </c>
      <c r="AX38" s="59">
        <f t="shared" si="23"/>
        <v>-0.41863484137832119</v>
      </c>
      <c r="AY38" s="59">
        <f t="shared" si="24"/>
        <v>-1</v>
      </c>
      <c r="AZ38" s="65">
        <f t="shared" si="25"/>
        <v>0.20575457090826421</v>
      </c>
    </row>
    <row r="39" spans="1:52" ht="38.25">
      <c r="A39" s="515" t="s">
        <v>103</v>
      </c>
      <c r="B39" s="495"/>
      <c r="C39" s="496">
        <v>5482</v>
      </c>
      <c r="D39" s="496">
        <v>6096</v>
      </c>
      <c r="E39" s="496">
        <v>36575</v>
      </c>
      <c r="F39" s="496">
        <v>23469</v>
      </c>
      <c r="G39" s="496">
        <v>13931</v>
      </c>
      <c r="H39" s="496">
        <v>9677</v>
      </c>
      <c r="I39" s="496">
        <v>23555</v>
      </c>
      <c r="J39" s="496">
        <v>42898</v>
      </c>
      <c r="K39" s="496">
        <v>61364</v>
      </c>
      <c r="L39" s="497">
        <v>39962</v>
      </c>
      <c r="M39" s="463"/>
      <c r="O39" s="58">
        <f t="shared" si="1"/>
        <v>0</v>
      </c>
      <c r="P39" s="59">
        <f t="shared" si="2"/>
        <v>9.1508492568009078E-7</v>
      </c>
      <c r="Q39" s="59">
        <f t="shared" si="3"/>
        <v>5.6539141847890366E-7</v>
      </c>
      <c r="R39" s="59">
        <f t="shared" si="4"/>
        <v>3.8829082263850295E-6</v>
      </c>
      <c r="S39" s="59">
        <f t="shared" si="5"/>
        <v>1.9828209742579274E-6</v>
      </c>
      <c r="T39" s="59">
        <f t="shared" si="6"/>
        <v>9.9303693677037435E-7</v>
      </c>
      <c r="U39" s="59">
        <f t="shared" si="7"/>
        <v>6.4882452886531432E-7</v>
      </c>
      <c r="V39" s="59">
        <f t="shared" si="8"/>
        <v>1.1728471476550811E-6</v>
      </c>
      <c r="W39" s="59">
        <f t="shared" si="9"/>
        <v>1.8805842568132807E-6</v>
      </c>
      <c r="X39" s="59">
        <f t="shared" si="10"/>
        <v>2.220632410397712E-6</v>
      </c>
      <c r="Y39" s="60">
        <f t="shared" si="11"/>
        <v>1.46328911753072E-6</v>
      </c>
      <c r="Z39" s="60">
        <f t="shared" si="12"/>
        <v>1.4295836311667667E-6</v>
      </c>
      <c r="AB39" s="68"/>
      <c r="AC39" s="59" t="str">
        <f t="shared" si="13"/>
        <v/>
      </c>
      <c r="AD39" s="59">
        <f t="shared" si="13"/>
        <v>0.11200291864283107</v>
      </c>
      <c r="AE39" s="59">
        <f t="shared" si="13"/>
        <v>4.9998359580052494</v>
      </c>
      <c r="AF39" s="59">
        <f t="shared" si="13"/>
        <v>-0.35833219412166784</v>
      </c>
      <c r="AG39" s="59">
        <f t="shared" si="13"/>
        <v>-0.40640845370488732</v>
      </c>
      <c r="AH39" s="59">
        <f t="shared" si="26"/>
        <v>-0.30536214198549994</v>
      </c>
      <c r="AI39" s="59">
        <f t="shared" si="26"/>
        <v>1.4341221452929629</v>
      </c>
      <c r="AJ39" s="59">
        <f t="shared" si="26"/>
        <v>0.82118446189768624</v>
      </c>
      <c r="AK39" s="59">
        <f t="shared" si="26"/>
        <v>0.43046295864609063</v>
      </c>
      <c r="AL39" s="60">
        <f t="shared" si="27"/>
        <v>-0.34877126654064272</v>
      </c>
      <c r="AM39" s="65">
        <f t="shared" si="14"/>
        <v>0.70874826512579148</v>
      </c>
      <c r="AO39" s="68"/>
      <c r="AP39" s="59">
        <f t="shared" si="15"/>
        <v>0</v>
      </c>
      <c r="AQ39" s="59">
        <f t="shared" si="16"/>
        <v>3.2979952292458092E-2</v>
      </c>
      <c r="AR39" s="59">
        <f t="shared" si="17"/>
        <v>4.6078474231285629</v>
      </c>
      <c r="AS39" s="59">
        <f t="shared" si="18"/>
        <v>-0.39743843940432699</v>
      </c>
      <c r="AT39" s="59">
        <f t="shared" si="19"/>
        <v>-0.43734077220397238</v>
      </c>
      <c r="AU39" s="59">
        <f t="shared" si="20"/>
        <v>-0.33750998722669578</v>
      </c>
      <c r="AV39" s="59">
        <f t="shared" si="21"/>
        <v>1.3297493733661589</v>
      </c>
      <c r="AW39" s="59">
        <f t="shared" si="22"/>
        <v>0.72313791455926424</v>
      </c>
      <c r="AX39" s="59">
        <f t="shared" si="23"/>
        <v>0.3285622352058053</v>
      </c>
      <c r="AY39" s="59">
        <f t="shared" si="24"/>
        <v>-0.36154045739278695</v>
      </c>
      <c r="AZ39" s="65">
        <f t="shared" si="25"/>
        <v>0.54884472423244668</v>
      </c>
    </row>
    <row r="40" spans="1:52" ht="38.25">
      <c r="A40" s="515" t="s">
        <v>104</v>
      </c>
      <c r="B40" s="495">
        <v>18052879</v>
      </c>
      <c r="C40" s="496">
        <v>28427835</v>
      </c>
      <c r="D40" s="496">
        <v>24792495</v>
      </c>
      <c r="E40" s="496">
        <v>44658729</v>
      </c>
      <c r="F40" s="496">
        <v>34848984</v>
      </c>
      <c r="G40" s="496">
        <v>39814161</v>
      </c>
      <c r="H40" s="496">
        <v>77527909</v>
      </c>
      <c r="I40" s="496">
        <v>109881065</v>
      </c>
      <c r="J40" s="496">
        <v>202924652</v>
      </c>
      <c r="K40" s="496">
        <v>94314684</v>
      </c>
      <c r="L40" s="497">
        <v>91875326</v>
      </c>
      <c r="M40" s="463"/>
      <c r="O40" s="58">
        <f t="shared" si="1"/>
        <v>4.7145777374589058E-3</v>
      </c>
      <c r="P40" s="59">
        <f t="shared" si="2"/>
        <v>4.7453271211639701E-3</v>
      </c>
      <c r="Q40" s="59">
        <f t="shared" si="3"/>
        <v>2.299452742073676E-3</v>
      </c>
      <c r="R40" s="59">
        <f t="shared" si="4"/>
        <v>4.7411003749555621E-3</v>
      </c>
      <c r="S40" s="59">
        <f t="shared" si="5"/>
        <v>2.9442795349942019E-3</v>
      </c>
      <c r="T40" s="59">
        <f t="shared" si="6"/>
        <v>2.8380541583176017E-3</v>
      </c>
      <c r="U40" s="59">
        <f t="shared" si="7"/>
        <v>5.1980995174990144E-3</v>
      </c>
      <c r="V40" s="59">
        <f t="shared" si="8"/>
        <v>5.4711820703270027E-3</v>
      </c>
      <c r="W40" s="59">
        <f t="shared" si="9"/>
        <v>8.8959136992520314E-3</v>
      </c>
      <c r="X40" s="59">
        <f t="shared" si="10"/>
        <v>3.4130474556224905E-3</v>
      </c>
      <c r="Y40" s="60">
        <f t="shared" si="11"/>
        <v>3.3642001077370306E-3</v>
      </c>
      <c r="Z40" s="60">
        <f t="shared" si="12"/>
        <v>4.4204758654001353E-3</v>
      </c>
      <c r="AB40" s="68"/>
      <c r="AC40" s="59">
        <f t="shared" si="13"/>
        <v>0.57469814094472138</v>
      </c>
      <c r="AD40" s="59">
        <f t="shared" si="13"/>
        <v>-0.12787959406687144</v>
      </c>
      <c r="AE40" s="59">
        <f t="shared" si="13"/>
        <v>0.80130031285677372</v>
      </c>
      <c r="AF40" s="59">
        <f t="shared" si="13"/>
        <v>-0.2196601922996958</v>
      </c>
      <c r="AG40" s="59">
        <f t="shared" si="13"/>
        <v>0.14247695140839678</v>
      </c>
      <c r="AH40" s="59">
        <f t="shared" si="26"/>
        <v>0.94724457461253553</v>
      </c>
      <c r="AI40" s="59">
        <f t="shared" si="26"/>
        <v>0.4173097974304969</v>
      </c>
      <c r="AJ40" s="59">
        <f t="shared" si="26"/>
        <v>0.84676633776711219</v>
      </c>
      <c r="AK40" s="59">
        <f t="shared" si="26"/>
        <v>-0.53522313296858581</v>
      </c>
      <c r="AL40" s="60">
        <f t="shared" si="27"/>
        <v>-2.5864031946499444E-2</v>
      </c>
      <c r="AM40" s="65">
        <f t="shared" si="14"/>
        <v>0.2821169163738384</v>
      </c>
      <c r="AO40" s="68"/>
      <c r="AP40" s="59">
        <f t="shared" si="15"/>
        <v>0.44799829052388174</v>
      </c>
      <c r="AQ40" s="59">
        <f t="shared" si="16"/>
        <v>-0.18985563777693581</v>
      </c>
      <c r="AR40" s="59">
        <f t="shared" si="17"/>
        <v>0.6836155835655422</v>
      </c>
      <c r="AS40" s="59">
        <f t="shared" si="18"/>
        <v>-0.26721775969546036</v>
      </c>
      <c r="AT40" s="59">
        <f t="shared" si="19"/>
        <v>8.2941971236595746E-2</v>
      </c>
      <c r="AU40" s="59">
        <f t="shared" si="20"/>
        <v>0.85712608120025258</v>
      </c>
      <c r="AV40" s="59">
        <f t="shared" si="21"/>
        <v>0.35653694241050626</v>
      </c>
      <c r="AW40" s="59">
        <f t="shared" si="22"/>
        <v>0.74734254685127466</v>
      </c>
      <c r="AX40" s="59">
        <f t="shared" si="23"/>
        <v>-0.56833206368402145</v>
      </c>
      <c r="AY40" s="59">
        <f t="shared" si="24"/>
        <v>-4.4964737202450422E-2</v>
      </c>
      <c r="AZ40" s="65">
        <f t="shared" si="25"/>
        <v>0.21051912174291854</v>
      </c>
    </row>
    <row r="41" spans="1:52" ht="38.25">
      <c r="A41" s="515" t="s">
        <v>16</v>
      </c>
      <c r="B41" s="495">
        <v>686265745</v>
      </c>
      <c r="C41" s="496">
        <v>1083936776</v>
      </c>
      <c r="D41" s="496">
        <v>1562295041</v>
      </c>
      <c r="E41" s="496">
        <v>1709534691</v>
      </c>
      <c r="F41" s="496">
        <v>2212037952</v>
      </c>
      <c r="G41" s="496">
        <v>2856327462</v>
      </c>
      <c r="H41" s="496">
        <v>3033950699</v>
      </c>
      <c r="I41" s="496">
        <v>3834803827</v>
      </c>
      <c r="J41" s="496">
        <v>4625293439</v>
      </c>
      <c r="K41" s="496">
        <v>5585998066.9899998</v>
      </c>
      <c r="L41" s="497">
        <v>4948781646.7799997</v>
      </c>
      <c r="M41" s="463"/>
      <c r="O41" s="58">
        <f t="shared" si="1"/>
        <v>0.17922089896894841</v>
      </c>
      <c r="P41" s="59">
        <f t="shared" si="2"/>
        <v>0.18093655675079848</v>
      </c>
      <c r="Q41" s="59">
        <f t="shared" si="3"/>
        <v>0.14489964063542438</v>
      </c>
      <c r="R41" s="59">
        <f t="shared" si="4"/>
        <v>0.18148916787353356</v>
      </c>
      <c r="S41" s="59">
        <f t="shared" si="5"/>
        <v>0.18688803302569987</v>
      </c>
      <c r="T41" s="59">
        <f t="shared" si="6"/>
        <v>0.20360625032500024</v>
      </c>
      <c r="U41" s="59">
        <f t="shared" si="7"/>
        <v>0.20342065029237016</v>
      </c>
      <c r="V41" s="59">
        <f t="shared" si="8"/>
        <v>0.19094199661701289</v>
      </c>
      <c r="W41" s="59">
        <f t="shared" si="9"/>
        <v>0.20276595702655503</v>
      </c>
      <c r="X41" s="59">
        <f t="shared" si="10"/>
        <v>0.2021453678374448</v>
      </c>
      <c r="Y41" s="60">
        <f t="shared" si="11"/>
        <v>0.18120960734620212</v>
      </c>
      <c r="Z41" s="60">
        <f t="shared" si="12"/>
        <v>0.18704764788172634</v>
      </c>
      <c r="AB41" s="68"/>
      <c r="AC41" s="59">
        <f t="shared" si="13"/>
        <v>0.57947090306831495</v>
      </c>
      <c r="AD41" s="59">
        <f t="shared" si="13"/>
        <v>0.44131565197488976</v>
      </c>
      <c r="AE41" s="59">
        <f t="shared" si="13"/>
        <v>9.4245738567891868E-2</v>
      </c>
      <c r="AF41" s="59">
        <f t="shared" si="13"/>
        <v>0.2939415407277044</v>
      </c>
      <c r="AG41" s="59">
        <f t="shared" si="13"/>
        <v>0.2912651247314586</v>
      </c>
      <c r="AH41" s="59">
        <f t="shared" si="26"/>
        <v>6.2185880072597843E-2</v>
      </c>
      <c r="AI41" s="59">
        <f t="shared" si="26"/>
        <v>0.26396379092908928</v>
      </c>
      <c r="AJ41" s="59">
        <f t="shared" si="26"/>
        <v>0.20613560632080796</v>
      </c>
      <c r="AK41" s="59">
        <f t="shared" si="26"/>
        <v>0.20770674134735678</v>
      </c>
      <c r="AL41" s="60">
        <f t="shared" si="27"/>
        <v>-0.11407387051842688</v>
      </c>
      <c r="AM41" s="65">
        <f t="shared" si="14"/>
        <v>0.23261571072216841</v>
      </c>
      <c r="AO41" s="68"/>
      <c r="AP41" s="59">
        <f t="shared" si="15"/>
        <v>0.45238703730419783</v>
      </c>
      <c r="AQ41" s="59">
        <f t="shared" si="16"/>
        <v>0.33889052668359465</v>
      </c>
      <c r="AR41" s="59">
        <f t="shared" si="17"/>
        <v>2.2755153348809953E-2</v>
      </c>
      <c r="AS41" s="59">
        <f t="shared" si="18"/>
        <v>0.21508267511287871</v>
      </c>
      <c r="AT41" s="59">
        <f t="shared" si="19"/>
        <v>0.22397672691944437</v>
      </c>
      <c r="AU41" s="59">
        <f t="shared" si="20"/>
        <v>1.302790963378464E-2</v>
      </c>
      <c r="AV41" s="59">
        <f t="shared" si="21"/>
        <v>0.20976626237470275</v>
      </c>
      <c r="AW41" s="59">
        <f t="shared" si="22"/>
        <v>0.14120125491608282</v>
      </c>
      <c r="AX41" s="59">
        <f t="shared" si="23"/>
        <v>0.12167432093188157</v>
      </c>
      <c r="AY41" s="59">
        <f t="shared" si="24"/>
        <v>-0.131444971096497</v>
      </c>
      <c r="AZ41" s="65">
        <f t="shared" si="25"/>
        <v>0.16073168961288803</v>
      </c>
    </row>
    <row r="42" spans="1:52" ht="38.25">
      <c r="A42" s="515" t="s">
        <v>105</v>
      </c>
      <c r="B42" s="495">
        <v>1152791</v>
      </c>
      <c r="C42" s="496">
        <v>65500</v>
      </c>
      <c r="D42" s="496">
        <v>50000</v>
      </c>
      <c r="E42" s="496">
        <v>393237</v>
      </c>
      <c r="F42" s="496">
        <v>5000</v>
      </c>
      <c r="G42" s="496"/>
      <c r="H42" s="496"/>
      <c r="I42" s="496">
        <v>74053</v>
      </c>
      <c r="J42" s="496">
        <v>214278</v>
      </c>
      <c r="K42" s="496">
        <v>1098512</v>
      </c>
      <c r="L42" s="497">
        <v>398036</v>
      </c>
      <c r="M42" s="463"/>
      <c r="O42" s="58">
        <f t="shared" si="1"/>
        <v>3.010557365693854E-4</v>
      </c>
      <c r="P42" s="59">
        <f t="shared" si="2"/>
        <v>1.0933612300628592E-5</v>
      </c>
      <c r="Q42" s="59">
        <f t="shared" si="3"/>
        <v>4.6373968051091182E-6</v>
      </c>
      <c r="R42" s="59">
        <f t="shared" si="4"/>
        <v>4.1747182015556251E-5</v>
      </c>
      <c r="S42" s="59">
        <f t="shared" si="5"/>
        <v>4.2243405646979576E-7</v>
      </c>
      <c r="T42" s="59">
        <f t="shared" si="6"/>
        <v>0</v>
      </c>
      <c r="U42" s="59">
        <f t="shared" si="7"/>
        <v>0</v>
      </c>
      <c r="V42" s="59">
        <f t="shared" si="8"/>
        <v>3.6872362481554541E-6</v>
      </c>
      <c r="W42" s="59">
        <f t="shared" si="9"/>
        <v>9.3936275206638104E-6</v>
      </c>
      <c r="X42" s="59">
        <f t="shared" si="10"/>
        <v>3.9752808656717477E-5</v>
      </c>
      <c r="Y42" s="60">
        <f t="shared" si="11"/>
        <v>1.4574889824970163E-5</v>
      </c>
      <c r="Z42" s="60">
        <f t="shared" si="12"/>
        <v>3.8745902181605094E-5</v>
      </c>
      <c r="AB42" s="68"/>
      <c r="AC42" s="59">
        <f t="shared" si="13"/>
        <v>-0.94318137459435403</v>
      </c>
      <c r="AD42" s="59">
        <f t="shared" si="13"/>
        <v>-0.23664122137404575</v>
      </c>
      <c r="AE42" s="59">
        <f t="shared" si="13"/>
        <v>6.8647400000000003</v>
      </c>
      <c r="AF42" s="59">
        <f t="shared" si="13"/>
        <v>-0.98728502150102859</v>
      </c>
      <c r="AG42" s="59">
        <f t="shared" si="13"/>
        <v>-1</v>
      </c>
      <c r="AH42" s="59" t="str">
        <f t="shared" si="26"/>
        <v/>
      </c>
      <c r="AI42" s="59" t="str">
        <f t="shared" si="26"/>
        <v/>
      </c>
      <c r="AJ42" s="59">
        <f t="shared" si="26"/>
        <v>1.893576222435283</v>
      </c>
      <c r="AK42" s="59">
        <f t="shared" si="26"/>
        <v>4.1265738899933728</v>
      </c>
      <c r="AL42" s="60">
        <f t="shared" si="27"/>
        <v>-0.6376589422782819</v>
      </c>
      <c r="AM42" s="65">
        <f t="shared" si="14"/>
        <v>1.1350154440851181</v>
      </c>
      <c r="AO42" s="68"/>
      <c r="AP42" s="59">
        <f t="shared" si="15"/>
        <v>-0.94775298813273934</v>
      </c>
      <c r="AQ42" s="59">
        <f t="shared" si="16"/>
        <v>-0.29088826881007501</v>
      </c>
      <c r="AR42" s="59">
        <f t="shared" si="17"/>
        <v>6.3509113001215063</v>
      </c>
      <c r="AS42" s="59">
        <f t="shared" si="18"/>
        <v>-0.98805993191945596</v>
      </c>
      <c r="AT42" s="59">
        <f t="shared" si="19"/>
        <v>-1</v>
      </c>
      <c r="AU42" s="59">
        <f t="shared" si="20"/>
        <v>0</v>
      </c>
      <c r="AV42" s="59">
        <f t="shared" si="21"/>
        <v>0</v>
      </c>
      <c r="AW42" s="59">
        <f t="shared" si="22"/>
        <v>1.7377956499529597</v>
      </c>
      <c r="AX42" s="59">
        <f t="shared" si="23"/>
        <v>3.761376325804191</v>
      </c>
      <c r="AY42" s="59">
        <f t="shared" si="24"/>
        <v>-0.64476366890027637</v>
      </c>
      <c r="AZ42" s="65">
        <f t="shared" si="25"/>
        <v>0.79786184181161102</v>
      </c>
    </row>
    <row r="43" spans="1:52" ht="25.5">
      <c r="A43" s="515" t="s">
        <v>106</v>
      </c>
      <c r="B43" s="495">
        <v>1784074</v>
      </c>
      <c r="C43" s="496">
        <v>141526</v>
      </c>
      <c r="D43" s="496">
        <v>283138</v>
      </c>
      <c r="E43" s="496">
        <v>362523</v>
      </c>
      <c r="F43" s="496">
        <v>518369</v>
      </c>
      <c r="G43" s="496">
        <v>237938</v>
      </c>
      <c r="H43" s="496">
        <v>706395</v>
      </c>
      <c r="I43" s="496">
        <v>2784230</v>
      </c>
      <c r="J43" s="496">
        <v>378861</v>
      </c>
      <c r="K43" s="496">
        <v>450587</v>
      </c>
      <c r="L43" s="497">
        <v>1359064</v>
      </c>
      <c r="M43" s="463"/>
      <c r="O43" s="58">
        <f t="shared" si="1"/>
        <v>4.6591768339993087E-4</v>
      </c>
      <c r="P43" s="59">
        <f t="shared" si="2"/>
        <v>2.3624281136774996E-5</v>
      </c>
      <c r="Q43" s="59">
        <f t="shared" si="3"/>
        <v>2.6260465132099712E-5</v>
      </c>
      <c r="R43" s="59">
        <f t="shared" si="4"/>
        <v>3.8486494571531925E-5</v>
      </c>
      <c r="S43" s="59">
        <f t="shared" si="5"/>
        <v>4.3795343883638311E-5</v>
      </c>
      <c r="T43" s="59">
        <f t="shared" si="6"/>
        <v>1.6960822816830763E-5</v>
      </c>
      <c r="U43" s="59">
        <f t="shared" si="7"/>
        <v>4.7362447356392861E-5</v>
      </c>
      <c r="V43" s="59">
        <f t="shared" si="8"/>
        <v>1.3863197681662944E-4</v>
      </c>
      <c r="W43" s="59">
        <f t="shared" si="9"/>
        <v>1.660870045504537E-5</v>
      </c>
      <c r="X43" s="59">
        <f t="shared" si="10"/>
        <v>1.6305783454531546E-5</v>
      </c>
      <c r="Y43" s="60">
        <f t="shared" si="11"/>
        <v>4.9764865653064672E-5</v>
      </c>
      <c r="Z43" s="60">
        <f t="shared" si="12"/>
        <v>8.0338078606951842E-5</v>
      </c>
      <c r="AB43" s="68"/>
      <c r="AC43" s="59">
        <f t="shared" si="13"/>
        <v>-0.92067257299865368</v>
      </c>
      <c r="AD43" s="59">
        <f t="shared" si="13"/>
        <v>1.0006076621963453</v>
      </c>
      <c r="AE43" s="59">
        <f t="shared" si="13"/>
        <v>0.28037564721090069</v>
      </c>
      <c r="AF43" s="59">
        <f t="shared" si="13"/>
        <v>0.42989272404785361</v>
      </c>
      <c r="AG43" s="59">
        <f t="shared" si="13"/>
        <v>-0.54098721181243481</v>
      </c>
      <c r="AH43" s="59">
        <f t="shared" si="26"/>
        <v>1.9688196084694334</v>
      </c>
      <c r="AI43" s="59">
        <f t="shared" si="26"/>
        <v>2.9414633455786068</v>
      </c>
      <c r="AJ43" s="59">
        <f t="shared" si="26"/>
        <v>-0.86392611242605677</v>
      </c>
      <c r="AK43" s="59">
        <f t="shared" si="26"/>
        <v>0.18932009364912195</v>
      </c>
      <c r="AL43" s="60">
        <f t="shared" si="27"/>
        <v>2.0162077467836399</v>
      </c>
      <c r="AM43" s="65">
        <f t="shared" si="14"/>
        <v>0.65011009306987566</v>
      </c>
      <c r="AO43" s="68"/>
      <c r="AP43" s="59">
        <f t="shared" si="15"/>
        <v>-0.92705523953899194</v>
      </c>
      <c r="AQ43" s="59">
        <f t="shared" si="16"/>
        <v>0.85843721523116145</v>
      </c>
      <c r="AR43" s="59">
        <f t="shared" si="17"/>
        <v>0.19672459782306806</v>
      </c>
      <c r="AS43" s="59">
        <f t="shared" si="18"/>
        <v>0.34274835575908891</v>
      </c>
      <c r="AT43" s="59">
        <f t="shared" si="19"/>
        <v>-0.56490657159440838</v>
      </c>
      <c r="AU43" s="59">
        <f t="shared" si="20"/>
        <v>1.8314226148835888</v>
      </c>
      <c r="AV43" s="59">
        <f t="shared" si="21"/>
        <v>2.7724572603164308</v>
      </c>
      <c r="AW43" s="59">
        <f t="shared" si="22"/>
        <v>-0.87125188042961188</v>
      </c>
      <c r="AX43" s="59">
        <f t="shared" si="23"/>
        <v>0.10459746786395652</v>
      </c>
      <c r="AY43" s="59">
        <f t="shared" si="24"/>
        <v>1.9570664184153332</v>
      </c>
      <c r="AZ43" s="65">
        <f t="shared" si="25"/>
        <v>0.57002402387296169</v>
      </c>
    </row>
    <row r="44" spans="1:52">
      <c r="A44" s="515" t="s">
        <v>107</v>
      </c>
      <c r="B44" s="495"/>
      <c r="C44" s="496"/>
      <c r="D44" s="496">
        <v>1776349020</v>
      </c>
      <c r="E44" s="496">
        <v>5071853</v>
      </c>
      <c r="F44" s="496">
        <v>74045</v>
      </c>
      <c r="G44" s="496"/>
      <c r="H44" s="496"/>
      <c r="I44" s="496">
        <v>632599</v>
      </c>
      <c r="J44" s="496">
        <v>398036</v>
      </c>
      <c r="K44" s="496"/>
      <c r="L44" s="497">
        <v>56771</v>
      </c>
      <c r="M44" s="463"/>
      <c r="O44" s="58">
        <f t="shared" si="1"/>
        <v>0</v>
      </c>
      <c r="P44" s="59">
        <f t="shared" si="2"/>
        <v>0</v>
      </c>
      <c r="Q44" s="59">
        <f t="shared" si="3"/>
        <v>0.16475270540213427</v>
      </c>
      <c r="R44" s="59">
        <f t="shared" si="4"/>
        <v>5.3844264488627728E-4</v>
      </c>
      <c r="S44" s="59">
        <f t="shared" si="5"/>
        <v>6.2558259422612052E-6</v>
      </c>
      <c r="T44" s="59">
        <f t="shared" si="6"/>
        <v>0</v>
      </c>
      <c r="U44" s="59">
        <f t="shared" si="7"/>
        <v>0</v>
      </c>
      <c r="V44" s="59">
        <f t="shared" si="8"/>
        <v>3.149827776520724E-5</v>
      </c>
      <c r="W44" s="59">
        <f t="shared" si="9"/>
        <v>1.7449303819407222E-5</v>
      </c>
      <c r="X44" s="59">
        <f t="shared" si="10"/>
        <v>0</v>
      </c>
      <c r="Y44" s="60">
        <f t="shared" si="11"/>
        <v>2.0787845075656E-6</v>
      </c>
      <c r="Z44" s="60">
        <f t="shared" si="12"/>
        <v>1.5031675476277729E-2</v>
      </c>
      <c r="AB44" s="68"/>
      <c r="AC44" s="59" t="str">
        <f t="shared" si="13"/>
        <v/>
      </c>
      <c r="AD44" s="59" t="str">
        <f t="shared" si="13"/>
        <v/>
      </c>
      <c r="AE44" s="59">
        <f t="shared" si="13"/>
        <v>-0.99714478802144413</v>
      </c>
      <c r="AF44" s="59">
        <f t="shared" si="13"/>
        <v>-0.98540079927395374</v>
      </c>
      <c r="AG44" s="59">
        <f t="shared" si="13"/>
        <v>-1</v>
      </c>
      <c r="AH44" s="59" t="str">
        <f t="shared" si="26"/>
        <v/>
      </c>
      <c r="AI44" s="59" t="str">
        <f t="shared" si="26"/>
        <v/>
      </c>
      <c r="AJ44" s="59">
        <f t="shared" si="26"/>
        <v>-0.37079255578968673</v>
      </c>
      <c r="AK44" s="59">
        <f t="shared" si="26"/>
        <v>-1</v>
      </c>
      <c r="AL44" s="60" t="str">
        <f t="shared" si="27"/>
        <v/>
      </c>
      <c r="AM44" s="65">
        <f t="shared" si="14"/>
        <v>-0.87066762861701696</v>
      </c>
      <c r="AO44" s="68"/>
      <c r="AP44" s="59">
        <f t="shared" si="15"/>
        <v>0</v>
      </c>
      <c r="AQ44" s="59">
        <f t="shared" si="16"/>
        <v>0</v>
      </c>
      <c r="AR44" s="59">
        <f t="shared" si="17"/>
        <v>-0.99733132818155357</v>
      </c>
      <c r="AS44" s="59">
        <f t="shared" si="18"/>
        <v>-0.9862905430312271</v>
      </c>
      <c r="AT44" s="59">
        <f t="shared" si="19"/>
        <v>-1</v>
      </c>
      <c r="AU44" s="59">
        <f t="shared" si="20"/>
        <v>0</v>
      </c>
      <c r="AV44" s="59">
        <f t="shared" si="21"/>
        <v>0</v>
      </c>
      <c r="AW44" s="59">
        <f t="shared" si="22"/>
        <v>-0.40466700330181349</v>
      </c>
      <c r="AX44" s="59">
        <f t="shared" si="23"/>
        <v>-1</v>
      </c>
      <c r="AY44" s="59">
        <f t="shared" si="24"/>
        <v>0</v>
      </c>
      <c r="AZ44" s="65">
        <f t="shared" si="25"/>
        <v>-0.43882888745145932</v>
      </c>
    </row>
    <row r="45" spans="1:52" ht="51">
      <c r="A45" s="515" t="s">
        <v>17</v>
      </c>
      <c r="B45" s="495">
        <v>8671055</v>
      </c>
      <c r="C45" s="496">
        <v>13289674</v>
      </c>
      <c r="D45" s="496">
        <v>12229260</v>
      </c>
      <c r="E45" s="496">
        <v>12563699</v>
      </c>
      <c r="F45" s="496">
        <v>64518186</v>
      </c>
      <c r="G45" s="496">
        <v>134171125</v>
      </c>
      <c r="H45" s="496">
        <v>33353754</v>
      </c>
      <c r="I45" s="496">
        <v>27445472</v>
      </c>
      <c r="J45" s="496">
        <v>29745658</v>
      </c>
      <c r="K45" s="496">
        <v>33506265</v>
      </c>
      <c r="L45" s="497">
        <v>35263219</v>
      </c>
      <c r="M45" s="463"/>
      <c r="O45" s="58">
        <f t="shared" si="1"/>
        <v>2.2644788603126257E-3</v>
      </c>
      <c r="P45" s="59">
        <f t="shared" si="2"/>
        <v>2.218383864393038E-3</v>
      </c>
      <c r="Q45" s="59">
        <f t="shared" si="3"/>
        <v>1.1342386250569748E-3</v>
      </c>
      <c r="R45" s="59">
        <f t="shared" si="4"/>
        <v>1.3337987751449178E-3</v>
      </c>
      <c r="S45" s="59">
        <f t="shared" si="5"/>
        <v>5.4509358056105571E-3</v>
      </c>
      <c r="T45" s="59">
        <f t="shared" si="6"/>
        <v>9.5640573521667514E-3</v>
      </c>
      <c r="U45" s="59">
        <f t="shared" si="7"/>
        <v>2.2363060581729452E-3</v>
      </c>
      <c r="V45" s="59">
        <f t="shared" si="8"/>
        <v>1.3665609658776222E-3</v>
      </c>
      <c r="W45" s="59">
        <f t="shared" si="9"/>
        <v>1.3040052250303516E-3</v>
      </c>
      <c r="X45" s="59">
        <f t="shared" si="10"/>
        <v>1.212520337826323E-3</v>
      </c>
      <c r="Y45" s="60">
        <f t="shared" si="11"/>
        <v>1.2912337873930864E-3</v>
      </c>
      <c r="Z45" s="60">
        <f t="shared" si="12"/>
        <v>2.6705926960895634E-3</v>
      </c>
      <c r="AB45" s="68"/>
      <c r="AC45" s="59">
        <f t="shared" si="13"/>
        <v>0.53264787272137015</v>
      </c>
      <c r="AD45" s="59">
        <f t="shared" si="13"/>
        <v>-7.9792325981811185E-2</v>
      </c>
      <c r="AE45" s="59">
        <f t="shared" si="13"/>
        <v>2.734744375375131E-2</v>
      </c>
      <c r="AF45" s="59">
        <f t="shared" si="13"/>
        <v>4.1352858740089209</v>
      </c>
      <c r="AG45" s="59">
        <f t="shared" si="13"/>
        <v>1.0795861340552877</v>
      </c>
      <c r="AH45" s="59">
        <f t="shared" si="26"/>
        <v>-0.75140885194187645</v>
      </c>
      <c r="AI45" s="59">
        <f t="shared" si="26"/>
        <v>-0.17713994052963278</v>
      </c>
      <c r="AJ45" s="59">
        <f t="shared" si="26"/>
        <v>8.3809307415080969E-2</v>
      </c>
      <c r="AK45" s="59">
        <f t="shared" si="26"/>
        <v>0.12642540971862171</v>
      </c>
      <c r="AL45" s="60">
        <f t="shared" si="27"/>
        <v>5.2436581636299939E-2</v>
      </c>
      <c r="AM45" s="65">
        <f t="shared" si="14"/>
        <v>0.50291975048560122</v>
      </c>
      <c r="AO45" s="68"/>
      <c r="AP45" s="59">
        <f t="shared" si="15"/>
        <v>0.40933137721505308</v>
      </c>
      <c r="AQ45" s="59">
        <f t="shared" si="16"/>
        <v>-0.14518562562174753</v>
      </c>
      <c r="AR45" s="59">
        <f t="shared" si="17"/>
        <v>-3.9772461207821963E-2</v>
      </c>
      <c r="AS45" s="59">
        <f t="shared" si="18"/>
        <v>3.8223174701933713</v>
      </c>
      <c r="AT45" s="59">
        <f t="shared" si="19"/>
        <v>0.97121797914073249</v>
      </c>
      <c r="AU45" s="59">
        <f t="shared" si="20"/>
        <v>-0.76291365212502016</v>
      </c>
      <c r="AV45" s="59">
        <f t="shared" si="21"/>
        <v>-0.2124233734012565</v>
      </c>
      <c r="AW45" s="59">
        <f t="shared" si="22"/>
        <v>2.5460599314108157E-2</v>
      </c>
      <c r="AX45" s="59">
        <f t="shared" si="23"/>
        <v>4.618316125069355E-2</v>
      </c>
      <c r="AY45" s="59">
        <f t="shared" si="24"/>
        <v>3.1800570231666603E-2</v>
      </c>
      <c r="AZ45" s="65">
        <f t="shared" si="25"/>
        <v>0.41460160449897793</v>
      </c>
    </row>
    <row r="46" spans="1:52" ht="25.5">
      <c r="A46" s="515" t="s">
        <v>108</v>
      </c>
      <c r="B46" s="495">
        <v>1945176</v>
      </c>
      <c r="C46" s="496">
        <v>2378233</v>
      </c>
      <c r="D46" s="496">
        <v>2229791</v>
      </c>
      <c r="E46" s="496">
        <v>3886999</v>
      </c>
      <c r="F46" s="496">
        <v>6583754</v>
      </c>
      <c r="G46" s="496">
        <v>4324524</v>
      </c>
      <c r="H46" s="496">
        <v>11859822</v>
      </c>
      <c r="I46" s="496">
        <v>18953110</v>
      </c>
      <c r="J46" s="496">
        <v>10617413</v>
      </c>
      <c r="K46" s="496">
        <v>9835793.2799999993</v>
      </c>
      <c r="L46" s="497">
        <v>11793173.58</v>
      </c>
      <c r="M46" s="463"/>
      <c r="O46" s="58">
        <f t="shared" si="1"/>
        <v>5.0799008097486087E-4</v>
      </c>
      <c r="P46" s="59">
        <f t="shared" si="2"/>
        <v>3.9698744400856246E-4</v>
      </c>
      <c r="Q46" s="59">
        <f t="shared" si="3"/>
        <v>2.0680851318922132E-4</v>
      </c>
      <c r="R46" s="59">
        <f t="shared" si="4"/>
        <v>4.1265510302256688E-4</v>
      </c>
      <c r="S46" s="59">
        <f t="shared" si="5"/>
        <v>5.5624038180384879E-4</v>
      </c>
      <c r="T46" s="59">
        <f t="shared" si="6"/>
        <v>3.0826301528605028E-4</v>
      </c>
      <c r="U46" s="59">
        <f t="shared" si="7"/>
        <v>7.9517861130272709E-4</v>
      </c>
      <c r="V46" s="59">
        <f t="shared" si="8"/>
        <v>9.4371050743761379E-4</v>
      </c>
      <c r="W46" s="59">
        <f t="shared" si="9"/>
        <v>4.654515300453323E-4</v>
      </c>
      <c r="X46" s="59">
        <f t="shared" si="10"/>
        <v>3.5593640146568047E-4</v>
      </c>
      <c r="Y46" s="60">
        <f t="shared" si="11"/>
        <v>4.3183080328223816E-4</v>
      </c>
      <c r="Z46" s="60">
        <f t="shared" si="12"/>
        <v>4.8918658107442747E-4</v>
      </c>
      <c r="AB46" s="68"/>
      <c r="AC46" s="59">
        <f t="shared" si="13"/>
        <v>0.22263126832739033</v>
      </c>
      <c r="AD46" s="59">
        <f t="shared" si="13"/>
        <v>-6.241692887114092E-2</v>
      </c>
      <c r="AE46" s="59">
        <f t="shared" si="13"/>
        <v>0.74321225621594134</v>
      </c>
      <c r="AF46" s="59">
        <f t="shared" si="13"/>
        <v>0.69378844707703813</v>
      </c>
      <c r="AG46" s="59">
        <f t="shared" si="13"/>
        <v>-0.34315225022077067</v>
      </c>
      <c r="AH46" s="59">
        <f t="shared" si="26"/>
        <v>1.7424572045385802</v>
      </c>
      <c r="AI46" s="59">
        <f t="shared" si="26"/>
        <v>0.59809396802076797</v>
      </c>
      <c r="AJ46" s="59">
        <f t="shared" si="26"/>
        <v>-0.43980629036606655</v>
      </c>
      <c r="AK46" s="59">
        <f t="shared" si="26"/>
        <v>-7.3616776516087334E-2</v>
      </c>
      <c r="AL46" s="60">
        <f t="shared" si="27"/>
        <v>0.19900583961845952</v>
      </c>
      <c r="AM46" s="65">
        <f t="shared" si="14"/>
        <v>0.3280196737824112</v>
      </c>
      <c r="AO46" s="68"/>
      <c r="AP46" s="59">
        <f t="shared" si="15"/>
        <v>0.12425863754242794</v>
      </c>
      <c r="AQ46" s="59">
        <f t="shared" si="16"/>
        <v>-0.12904498733965719</v>
      </c>
      <c r="AR46" s="59">
        <f t="shared" si="17"/>
        <v>0.62932260605284718</v>
      </c>
      <c r="AS46" s="59">
        <f t="shared" si="18"/>
        <v>0.59056103585035036</v>
      </c>
      <c r="AT46" s="59">
        <f t="shared" si="19"/>
        <v>-0.37738087751236815</v>
      </c>
      <c r="AU46" s="59">
        <f t="shared" si="20"/>
        <v>1.6155362646921536</v>
      </c>
      <c r="AV46" s="59">
        <f t="shared" si="21"/>
        <v>0.5295692649509649</v>
      </c>
      <c r="AW46" s="59">
        <f t="shared" si="22"/>
        <v>-0.46996526669132987</v>
      </c>
      <c r="AX46" s="59">
        <f t="shared" si="23"/>
        <v>-0.13960878286996126</v>
      </c>
      <c r="AY46" s="59">
        <f t="shared" si="24"/>
        <v>0.17549592119456814</v>
      </c>
      <c r="AZ46" s="65">
        <f t="shared" si="25"/>
        <v>0.25487438158699954</v>
      </c>
    </row>
    <row r="47" spans="1:52" ht="38.25">
      <c r="A47" s="515" t="s">
        <v>109</v>
      </c>
      <c r="B47" s="495">
        <v>31497376</v>
      </c>
      <c r="C47" s="496">
        <v>33860641</v>
      </c>
      <c r="D47" s="496">
        <v>31365539</v>
      </c>
      <c r="E47" s="496">
        <v>60710568</v>
      </c>
      <c r="F47" s="496">
        <v>54236170</v>
      </c>
      <c r="G47" s="496">
        <v>79894687</v>
      </c>
      <c r="H47" s="496">
        <v>131143321</v>
      </c>
      <c r="I47" s="496">
        <v>161795680</v>
      </c>
      <c r="J47" s="496">
        <v>204588078</v>
      </c>
      <c r="K47" s="496">
        <v>210351535</v>
      </c>
      <c r="L47" s="497">
        <v>191683896.34</v>
      </c>
      <c r="M47" s="463"/>
      <c r="O47" s="58">
        <f t="shared" si="1"/>
        <v>8.2256590584788413E-3</v>
      </c>
      <c r="P47" s="59">
        <f t="shared" si="2"/>
        <v>5.652200319767463E-3</v>
      </c>
      <c r="Q47" s="59">
        <f t="shared" si="3"/>
        <v>2.9090890069825089E-3</v>
      </c>
      <c r="R47" s="59">
        <f t="shared" si="4"/>
        <v>6.4452102232592685E-3</v>
      </c>
      <c r="S47" s="59">
        <f t="shared" si="5"/>
        <v>4.5822410600970887E-3</v>
      </c>
      <c r="T47" s="59">
        <f t="shared" si="6"/>
        <v>5.6950954879554849E-3</v>
      </c>
      <c r="U47" s="59">
        <f t="shared" si="7"/>
        <v>8.7929113838645951E-3</v>
      </c>
      <c r="V47" s="59">
        <f t="shared" si="8"/>
        <v>8.0561070596864466E-3</v>
      </c>
      <c r="W47" s="59">
        <f t="shared" si="9"/>
        <v>8.968835810958262E-3</v>
      </c>
      <c r="X47" s="59">
        <f t="shared" si="10"/>
        <v>7.6121738510838387E-3</v>
      </c>
      <c r="Y47" s="60">
        <f t="shared" si="11"/>
        <v>7.0188919353437913E-3</v>
      </c>
      <c r="Z47" s="60">
        <f t="shared" si="12"/>
        <v>6.7234922906797799E-3</v>
      </c>
      <c r="AB47" s="68"/>
      <c r="AC47" s="59">
        <f t="shared" si="13"/>
        <v>7.5030535877020466E-2</v>
      </c>
      <c r="AD47" s="59">
        <f t="shared" si="13"/>
        <v>-7.3687382350499542E-2</v>
      </c>
      <c r="AE47" s="59">
        <f t="shared" si="13"/>
        <v>0.93558184987670701</v>
      </c>
      <c r="AF47" s="59">
        <f t="shared" si="13"/>
        <v>-0.10664367363520633</v>
      </c>
      <c r="AG47" s="59">
        <f t="shared" si="13"/>
        <v>0.47308866020591056</v>
      </c>
      <c r="AH47" s="59">
        <f t="shared" si="26"/>
        <v>0.64145234087968839</v>
      </c>
      <c r="AI47" s="59">
        <f t="shared" si="26"/>
        <v>0.23373175824943471</v>
      </c>
      <c r="AJ47" s="59">
        <f t="shared" si="26"/>
        <v>0.2644841815306811</v>
      </c>
      <c r="AK47" s="59">
        <f t="shared" si="26"/>
        <v>2.8171030571976896E-2</v>
      </c>
      <c r="AL47" s="60">
        <f t="shared" si="27"/>
        <v>-8.8744960477706969E-2</v>
      </c>
      <c r="AM47" s="65">
        <f t="shared" si="14"/>
        <v>0.23824643407280063</v>
      </c>
      <c r="AO47" s="68"/>
      <c r="AP47" s="59">
        <f t="shared" si="15"/>
        <v>-1.1466173906187982E-2</v>
      </c>
      <c r="AQ47" s="59">
        <f t="shared" si="16"/>
        <v>-0.1395145214588942</v>
      </c>
      <c r="AR47" s="59">
        <f t="shared" si="17"/>
        <v>0.8091240769013055</v>
      </c>
      <c r="AS47" s="59">
        <f t="shared" si="18"/>
        <v>-0.1610889976854224</v>
      </c>
      <c r="AT47" s="59">
        <f t="shared" si="19"/>
        <v>0.39632535739393648</v>
      </c>
      <c r="AU47" s="59">
        <f t="shared" si="20"/>
        <v>0.56548591432149564</v>
      </c>
      <c r="AV47" s="59">
        <f t="shared" si="21"/>
        <v>0.18083054962618172</v>
      </c>
      <c r="AW47" s="59">
        <f t="shared" si="22"/>
        <v>0.19640853584131057</v>
      </c>
      <c r="AX47" s="59">
        <f t="shared" si="23"/>
        <v>-4.507195080154458E-2</v>
      </c>
      <c r="AY47" s="59">
        <f t="shared" si="24"/>
        <v>-0.10661270635069309</v>
      </c>
      <c r="AZ47" s="65">
        <f t="shared" si="25"/>
        <v>0.16844200838814877</v>
      </c>
    </row>
    <row r="48" spans="1:52" ht="25.5">
      <c r="A48" s="515" t="s">
        <v>110</v>
      </c>
      <c r="B48" s="495">
        <v>10595753</v>
      </c>
      <c r="C48" s="496">
        <v>20580205</v>
      </c>
      <c r="D48" s="496">
        <v>11723513</v>
      </c>
      <c r="E48" s="496">
        <v>16849484</v>
      </c>
      <c r="F48" s="496">
        <v>35794514</v>
      </c>
      <c r="G48" s="496">
        <v>28975043</v>
      </c>
      <c r="H48" s="496">
        <v>48213911</v>
      </c>
      <c r="I48" s="496">
        <v>70718151</v>
      </c>
      <c r="J48" s="496">
        <v>75106063</v>
      </c>
      <c r="K48" s="496">
        <v>87295545.560000002</v>
      </c>
      <c r="L48" s="497">
        <v>88206340</v>
      </c>
      <c r="M48" s="463"/>
      <c r="O48" s="58">
        <f t="shared" si="1"/>
        <v>2.7671210340142098E-3</v>
      </c>
      <c r="P48" s="59">
        <f t="shared" si="2"/>
        <v>3.4353585120222604E-3</v>
      </c>
      <c r="Q48" s="59">
        <f t="shared" si="3"/>
        <v>1.0873316346171043E-3</v>
      </c>
      <c r="R48" s="59">
        <f t="shared" si="4"/>
        <v>1.7887901581392462E-3</v>
      </c>
      <c r="S48" s="59">
        <f t="shared" si="5"/>
        <v>3.024164349676979E-3</v>
      </c>
      <c r="T48" s="59">
        <f t="shared" si="6"/>
        <v>2.0654143954855989E-3</v>
      </c>
      <c r="U48" s="59">
        <f t="shared" si="7"/>
        <v>3.2326514507935514E-3</v>
      </c>
      <c r="V48" s="59">
        <f t="shared" si="8"/>
        <v>3.521187929857411E-3</v>
      </c>
      <c r="W48" s="59">
        <f t="shared" si="9"/>
        <v>3.2925376397274103E-3</v>
      </c>
      <c r="X48" s="59">
        <f t="shared" si="10"/>
        <v>3.1590397913090098E-3</v>
      </c>
      <c r="Y48" s="60">
        <f t="shared" si="11"/>
        <v>3.2298527956362206E-3</v>
      </c>
      <c r="Z48" s="60">
        <f t="shared" si="12"/>
        <v>2.7821317901162734E-3</v>
      </c>
      <c r="AB48" s="68"/>
      <c r="AC48" s="59">
        <f t="shared" si="13"/>
        <v>0.94230697903207061</v>
      </c>
      <c r="AD48" s="59">
        <f t="shared" si="13"/>
        <v>-0.43035003781546399</v>
      </c>
      <c r="AE48" s="59">
        <f t="shared" si="13"/>
        <v>0.4372384796263713</v>
      </c>
      <c r="AF48" s="59">
        <f t="shared" si="13"/>
        <v>1.1243685563308645</v>
      </c>
      <c r="AG48" s="59">
        <f t="shared" si="13"/>
        <v>-0.19051721165986502</v>
      </c>
      <c r="AH48" s="59">
        <f t="shared" si="26"/>
        <v>0.66398065397176453</v>
      </c>
      <c r="AI48" s="59">
        <f t="shared" si="26"/>
        <v>0.46675823498326041</v>
      </c>
      <c r="AJ48" s="59">
        <f t="shared" si="26"/>
        <v>6.204788923285065E-2</v>
      </c>
      <c r="AK48" s="59">
        <f t="shared" si="26"/>
        <v>0.16229691815958991</v>
      </c>
      <c r="AL48" s="60">
        <f t="shared" si="27"/>
        <v>1.0433458364424775E-2</v>
      </c>
      <c r="AM48" s="65">
        <f t="shared" si="14"/>
        <v>0.32485639202258676</v>
      </c>
      <c r="AO48" s="68"/>
      <c r="AP48" s="59">
        <f t="shared" si="15"/>
        <v>0.78602940600650184</v>
      </c>
      <c r="AQ48" s="59">
        <f t="shared" si="16"/>
        <v>-0.4708314331773934</v>
      </c>
      <c r="AR48" s="59">
        <f t="shared" si="17"/>
        <v>0.34333907806932529</v>
      </c>
      <c r="AS48" s="59">
        <f t="shared" si="18"/>
        <v>0.99489957397958917</v>
      </c>
      <c r="AT48" s="59">
        <f t="shared" si="19"/>
        <v>-0.2326997184437738</v>
      </c>
      <c r="AU48" s="59">
        <f t="shared" si="20"/>
        <v>0.58697161691592425</v>
      </c>
      <c r="AV48" s="59">
        <f t="shared" si="21"/>
        <v>0.40386507942501959</v>
      </c>
      <c r="AW48" s="59">
        <f t="shared" si="22"/>
        <v>4.8707439046746792E-3</v>
      </c>
      <c r="AX48" s="59">
        <f t="shared" si="23"/>
        <v>7.9499320293108466E-2</v>
      </c>
      <c r="AY48" s="59">
        <f t="shared" si="24"/>
        <v>-9.3789623878188788E-3</v>
      </c>
      <c r="AZ48" s="65">
        <f t="shared" si="25"/>
        <v>0.24865647045851569</v>
      </c>
    </row>
    <row r="49" spans="1:52" ht="25.5">
      <c r="A49" s="515" t="s">
        <v>18</v>
      </c>
      <c r="B49" s="495">
        <v>774041095</v>
      </c>
      <c r="C49" s="496">
        <v>1170294415</v>
      </c>
      <c r="D49" s="496">
        <v>3423956152</v>
      </c>
      <c r="E49" s="496">
        <v>1886094809</v>
      </c>
      <c r="F49" s="496">
        <v>2880349316</v>
      </c>
      <c r="G49" s="496">
        <v>3839543828</v>
      </c>
      <c r="H49" s="496">
        <v>3375585471</v>
      </c>
      <c r="I49" s="496">
        <v>4298800895</v>
      </c>
      <c r="J49" s="496">
        <v>5263424416</v>
      </c>
      <c r="K49" s="496">
        <v>6097030178.71</v>
      </c>
      <c r="L49" s="497">
        <v>5446887274.6999998</v>
      </c>
      <c r="M49" s="463"/>
      <c r="O49" s="58">
        <f t="shared" si="1"/>
        <v>0.20214376412567292</v>
      </c>
      <c r="P49" s="59">
        <f t="shared" si="2"/>
        <v>0.1953518383389457</v>
      </c>
      <c r="Q49" s="59">
        <f t="shared" si="3"/>
        <v>0.31756486640237019</v>
      </c>
      <c r="R49" s="59">
        <f t="shared" si="4"/>
        <v>0.2002333027917485</v>
      </c>
      <c r="S49" s="59">
        <f t="shared" si="5"/>
        <v>0.24335152912157632</v>
      </c>
      <c r="T49" s="59">
        <f t="shared" si="6"/>
        <v>0.27369240123126248</v>
      </c>
      <c r="U49" s="59">
        <f t="shared" si="7"/>
        <v>0.22632661494948589</v>
      </c>
      <c r="V49" s="59">
        <f t="shared" si="8"/>
        <v>0.2140452714089518</v>
      </c>
      <c r="W49" s="59">
        <f t="shared" si="9"/>
        <v>0.23074066608364577</v>
      </c>
      <c r="X49" s="59">
        <f t="shared" si="10"/>
        <v>0.220638531093416</v>
      </c>
      <c r="Y49" s="60">
        <f t="shared" si="11"/>
        <v>0.19944874814786726</v>
      </c>
      <c r="Z49" s="60">
        <f t="shared" si="12"/>
        <v>0.22941250306317659</v>
      </c>
      <c r="AB49" s="68"/>
      <c r="AC49" s="59">
        <f t="shared" si="13"/>
        <v>0.51192801333112681</v>
      </c>
      <c r="AD49" s="59">
        <f t="shared" si="13"/>
        <v>1.9257220303832692</v>
      </c>
      <c r="AE49" s="59">
        <f t="shared" si="13"/>
        <v>-0.44914749918795105</v>
      </c>
      <c r="AF49" s="59">
        <f t="shared" si="13"/>
        <v>0.52714980299805281</v>
      </c>
      <c r="AG49" s="59">
        <f t="shared" si="13"/>
        <v>0.33301325872934506</v>
      </c>
      <c r="AH49" s="59">
        <f t="shared" si="26"/>
        <v>-0.12083684358974323</v>
      </c>
      <c r="AI49" s="59">
        <f t="shared" si="26"/>
        <v>0.2734978663498342</v>
      </c>
      <c r="AJ49" s="59">
        <f t="shared" si="26"/>
        <v>0.22439362616723368</v>
      </c>
      <c r="AK49" s="59">
        <f t="shared" si="26"/>
        <v>0.15837707485187158</v>
      </c>
      <c r="AL49" s="60">
        <f t="shared" si="27"/>
        <v>-0.1066327187095466</v>
      </c>
      <c r="AM49" s="65">
        <f t="shared" si="14"/>
        <v>0.32774646113234923</v>
      </c>
      <c r="AO49" s="68"/>
      <c r="AP49" s="59">
        <f t="shared" si="15"/>
        <v>0.39027863294816267</v>
      </c>
      <c r="AQ49" s="59">
        <f t="shared" si="16"/>
        <v>1.7178095962687125</v>
      </c>
      <c r="AR49" s="59">
        <f t="shared" si="17"/>
        <v>-0.48513646059253301</v>
      </c>
      <c r="AS49" s="59">
        <f t="shared" si="18"/>
        <v>0.43407813221715918</v>
      </c>
      <c r="AT49" s="59">
        <f t="shared" si="19"/>
        <v>0.26354934715601597</v>
      </c>
      <c r="AU49" s="59">
        <f t="shared" si="20"/>
        <v>-0.16152452101467307</v>
      </c>
      <c r="AV49" s="59">
        <f t="shared" si="21"/>
        <v>0.21889152598567607</v>
      </c>
      <c r="AW49" s="59">
        <f t="shared" si="22"/>
        <v>0.1584763233676163</v>
      </c>
      <c r="AX49" s="59">
        <f t="shared" si="23"/>
        <v>7.5858711667011747E-2</v>
      </c>
      <c r="AY49" s="59">
        <f t="shared" si="24"/>
        <v>-0.12414972422504567</v>
      </c>
      <c r="AZ49" s="65">
        <f t="shared" si="25"/>
        <v>0.24881315637781021</v>
      </c>
    </row>
    <row r="50" spans="1:52" ht="38.25">
      <c r="A50" s="515" t="s">
        <v>19</v>
      </c>
      <c r="B50" s="495">
        <v>7403004</v>
      </c>
      <c r="C50" s="496">
        <v>8946605</v>
      </c>
      <c r="D50" s="496">
        <v>9551851</v>
      </c>
      <c r="E50" s="496">
        <v>35560105</v>
      </c>
      <c r="F50" s="496">
        <v>16448388</v>
      </c>
      <c r="G50" s="496">
        <v>15927513</v>
      </c>
      <c r="H50" s="496">
        <v>23503751</v>
      </c>
      <c r="I50" s="496">
        <v>50276933</v>
      </c>
      <c r="J50" s="496">
        <v>73687371</v>
      </c>
      <c r="K50" s="496">
        <v>51666001.619999997</v>
      </c>
      <c r="L50" s="497">
        <v>63203501.670000002</v>
      </c>
      <c r="M50" s="463"/>
      <c r="O50" s="58">
        <f t="shared" si="1"/>
        <v>1.9333225381236549E-3</v>
      </c>
      <c r="P50" s="59">
        <f t="shared" si="2"/>
        <v>1.4934154271277139E-3</v>
      </c>
      <c r="Q50" s="59">
        <f t="shared" si="3"/>
        <v>8.8591446620556679E-4</v>
      </c>
      <c r="R50" s="59">
        <f t="shared" si="4"/>
        <v>3.775164025580736E-3</v>
      </c>
      <c r="S50" s="59">
        <f t="shared" si="5"/>
        <v>1.3896718530458222E-3</v>
      </c>
      <c r="T50" s="59">
        <f t="shared" si="6"/>
        <v>1.1353534362135034E-3</v>
      </c>
      <c r="U50" s="59">
        <f t="shared" si="7"/>
        <v>1.5758820056983218E-3</v>
      </c>
      <c r="V50" s="59">
        <f t="shared" si="8"/>
        <v>2.5033817644617117E-3</v>
      </c>
      <c r="W50" s="59">
        <f t="shared" si="9"/>
        <v>3.2303443010993403E-3</v>
      </c>
      <c r="X50" s="59">
        <f t="shared" si="10"/>
        <v>1.869682512760457E-3</v>
      </c>
      <c r="Y50" s="60">
        <f t="shared" si="11"/>
        <v>2.3143235119249708E-3</v>
      </c>
      <c r="Z50" s="60">
        <f t="shared" si="12"/>
        <v>2.0096778038401633E-3</v>
      </c>
      <c r="AB50" s="68"/>
      <c r="AC50" s="59">
        <f t="shared" si="13"/>
        <v>0.20851008590566744</v>
      </c>
      <c r="AD50" s="59">
        <f t="shared" si="13"/>
        <v>6.7650913391169132E-2</v>
      </c>
      <c r="AE50" s="59">
        <f t="shared" si="13"/>
        <v>2.7228496340656907</v>
      </c>
      <c r="AF50" s="59">
        <f t="shared" si="13"/>
        <v>-0.5374482724390155</v>
      </c>
      <c r="AG50" s="59">
        <f t="shared" si="13"/>
        <v>-3.1667236935315479E-2</v>
      </c>
      <c r="AH50" s="59">
        <f t="shared" si="26"/>
        <v>0.47566986760582153</v>
      </c>
      <c r="AI50" s="59">
        <f t="shared" si="26"/>
        <v>1.1391025202743172</v>
      </c>
      <c r="AJ50" s="59">
        <f t="shared" si="26"/>
        <v>0.46562979488028833</v>
      </c>
      <c r="AK50" s="59">
        <f t="shared" si="26"/>
        <v>-0.29884862332786988</v>
      </c>
      <c r="AL50" s="60">
        <f t="shared" si="27"/>
        <v>0.22330932698948813</v>
      </c>
      <c r="AM50" s="65">
        <f t="shared" si="14"/>
        <v>0.44347580104102419</v>
      </c>
      <c r="AO50" s="68"/>
      <c r="AP50" s="59">
        <f t="shared" si="15"/>
        <v>0.11127364221210811</v>
      </c>
      <c r="AQ50" s="59">
        <f t="shared" si="16"/>
        <v>-8.2202383732753459E-3</v>
      </c>
      <c r="AR50" s="59">
        <f t="shared" si="17"/>
        <v>2.4796239219232548</v>
      </c>
      <c r="AS50" s="59">
        <f t="shared" si="18"/>
        <v>-0.56563834391869228</v>
      </c>
      <c r="AT50" s="59">
        <f t="shared" si="19"/>
        <v>-8.2127486288874119E-2</v>
      </c>
      <c r="AU50" s="59">
        <f t="shared" si="20"/>
        <v>0.40737585514516228</v>
      </c>
      <c r="AV50" s="59">
        <f t="shared" si="21"/>
        <v>1.0473799007219728</v>
      </c>
      <c r="AW50" s="59">
        <f t="shared" si="22"/>
        <v>0.38672513471500469</v>
      </c>
      <c r="AX50" s="59">
        <f t="shared" si="23"/>
        <v>-0.34879597225584646</v>
      </c>
      <c r="AY50" s="59">
        <f t="shared" si="24"/>
        <v>0.19932286959753731</v>
      </c>
      <c r="AZ50" s="65">
        <f t="shared" si="25"/>
        <v>0.3626919283478352</v>
      </c>
    </row>
    <row r="51" spans="1:52" ht="25.5">
      <c r="A51" s="515" t="s">
        <v>20</v>
      </c>
      <c r="B51" s="495">
        <v>29355357</v>
      </c>
      <c r="C51" s="496">
        <v>37088080</v>
      </c>
      <c r="D51" s="496">
        <v>10662903</v>
      </c>
      <c r="E51" s="496">
        <v>154289856</v>
      </c>
      <c r="F51" s="496">
        <v>47446667</v>
      </c>
      <c r="G51" s="496">
        <v>56038434</v>
      </c>
      <c r="H51" s="496">
        <v>45006565</v>
      </c>
      <c r="I51" s="496">
        <v>64030159</v>
      </c>
      <c r="J51" s="496">
        <v>105995913</v>
      </c>
      <c r="K51" s="496">
        <v>179024988.83000001</v>
      </c>
      <c r="L51" s="497">
        <v>123645782.25</v>
      </c>
      <c r="M51" s="463"/>
      <c r="O51" s="58">
        <f t="shared" si="1"/>
        <v>7.6662626823875823E-3</v>
      </c>
      <c r="P51" s="59">
        <f t="shared" si="2"/>
        <v>6.1909417968656075E-3</v>
      </c>
      <c r="Q51" s="59">
        <f t="shared" si="3"/>
        <v>9.8896224610776863E-4</v>
      </c>
      <c r="R51" s="59">
        <f t="shared" si="4"/>
        <v>1.6379859223791159E-2</v>
      </c>
      <c r="S51" s="59">
        <f t="shared" si="5"/>
        <v>4.0086176013563188E-3</v>
      </c>
      <c r="T51" s="59">
        <f t="shared" si="6"/>
        <v>3.9945613983754791E-3</v>
      </c>
      <c r="U51" s="59">
        <f t="shared" si="7"/>
        <v>3.0176049738525517E-3</v>
      </c>
      <c r="V51" s="59">
        <f t="shared" si="8"/>
        <v>3.1881804010635245E-3</v>
      </c>
      <c r="W51" s="59">
        <f t="shared" si="9"/>
        <v>4.646702533319739E-3</v>
      </c>
      <c r="X51" s="59">
        <f t="shared" si="10"/>
        <v>6.4785328933411506E-3</v>
      </c>
      <c r="Y51" s="60">
        <f t="shared" si="11"/>
        <v>4.5275393522595979E-3</v>
      </c>
      <c r="Z51" s="60">
        <f t="shared" si="12"/>
        <v>5.5534331911564075E-3</v>
      </c>
      <c r="AB51" s="68"/>
      <c r="AC51" s="59">
        <f t="shared" si="13"/>
        <v>0.26341778095221247</v>
      </c>
      <c r="AD51" s="59">
        <f t="shared" si="13"/>
        <v>-0.71249784297272867</v>
      </c>
      <c r="AE51" s="59">
        <f t="shared" si="13"/>
        <v>13.469779571285606</v>
      </c>
      <c r="AF51" s="59">
        <f t="shared" si="13"/>
        <v>-0.69248356158942814</v>
      </c>
      <c r="AG51" s="59">
        <f t="shared" si="13"/>
        <v>0.1810826248343218</v>
      </c>
      <c r="AH51" s="59">
        <f t="shared" si="26"/>
        <v>-0.19686254972792427</v>
      </c>
      <c r="AI51" s="59">
        <f t="shared" si="26"/>
        <v>0.4226848683075457</v>
      </c>
      <c r="AJ51" s="59">
        <f t="shared" si="26"/>
        <v>0.65540605638664751</v>
      </c>
      <c r="AK51" s="59">
        <f t="shared" si="26"/>
        <v>0.68898011029915862</v>
      </c>
      <c r="AL51" s="60">
        <f t="shared" si="27"/>
        <v>-0.30933785803828451</v>
      </c>
      <c r="AM51" s="65">
        <f t="shared" si="14"/>
        <v>1.3770169199737123</v>
      </c>
      <c r="AO51" s="68"/>
      <c r="AP51" s="59">
        <f t="shared" si="15"/>
        <v>0.16176347673766678</v>
      </c>
      <c r="AQ51" s="59">
        <f t="shared" si="16"/>
        <v>-0.73292879049951565</v>
      </c>
      <c r="AR51" s="59">
        <f t="shared" si="17"/>
        <v>12.524422442551272</v>
      </c>
      <c r="AS51" s="59">
        <f t="shared" si="18"/>
        <v>-0.71122505548824133</v>
      </c>
      <c r="AT51" s="59">
        <f t="shared" si="19"/>
        <v>0.11953588591404185</v>
      </c>
      <c r="AU51" s="59">
        <f t="shared" si="20"/>
        <v>-0.23403175690669042</v>
      </c>
      <c r="AV51" s="59">
        <f t="shared" si="21"/>
        <v>0.36168153551641047</v>
      </c>
      <c r="AW51" s="59">
        <f t="shared" si="22"/>
        <v>0.56628447004129767</v>
      </c>
      <c r="AX51" s="59">
        <f t="shared" si="23"/>
        <v>0.56866361131156173</v>
      </c>
      <c r="AY51" s="59">
        <f t="shared" si="24"/>
        <v>-0.32288025297871026</v>
      </c>
      <c r="AZ51" s="65">
        <f t="shared" si="25"/>
        <v>1.2301285566199094</v>
      </c>
    </row>
    <row r="52" spans="1:52" ht="38.25">
      <c r="A52" s="515" t="s">
        <v>111</v>
      </c>
      <c r="B52" s="495"/>
      <c r="C52" s="496"/>
      <c r="D52" s="496"/>
      <c r="E52" s="496"/>
      <c r="F52" s="496"/>
      <c r="G52" s="496"/>
      <c r="H52" s="496"/>
      <c r="I52" s="496">
        <v>800</v>
      </c>
      <c r="J52" s="496"/>
      <c r="K52" s="496"/>
      <c r="L52" s="497"/>
      <c r="M52" s="463"/>
      <c r="O52" s="58">
        <f t="shared" si="1"/>
        <v>0</v>
      </c>
      <c r="P52" s="59">
        <f t="shared" si="2"/>
        <v>0</v>
      </c>
      <c r="Q52" s="59">
        <f t="shared" si="3"/>
        <v>0</v>
      </c>
      <c r="R52" s="59">
        <f t="shared" si="4"/>
        <v>0</v>
      </c>
      <c r="S52" s="59">
        <f t="shared" si="5"/>
        <v>0</v>
      </c>
      <c r="T52" s="59">
        <f t="shared" si="6"/>
        <v>0</v>
      </c>
      <c r="U52" s="59">
        <f t="shared" si="7"/>
        <v>0</v>
      </c>
      <c r="V52" s="59">
        <f t="shared" si="8"/>
        <v>3.9833484106307147E-8</v>
      </c>
      <c r="W52" s="59">
        <f t="shared" si="9"/>
        <v>0</v>
      </c>
      <c r="X52" s="59">
        <f t="shared" si="10"/>
        <v>0</v>
      </c>
      <c r="Y52" s="60">
        <f t="shared" si="11"/>
        <v>0</v>
      </c>
      <c r="Z52" s="60">
        <f t="shared" si="12"/>
        <v>3.6212258278461041E-9</v>
      </c>
      <c r="AB52" s="68"/>
      <c r="AC52" s="59" t="str">
        <f t="shared" si="13"/>
        <v/>
      </c>
      <c r="AD52" s="59" t="str">
        <f t="shared" si="13"/>
        <v/>
      </c>
      <c r="AE52" s="59" t="str">
        <f t="shared" si="13"/>
        <v/>
      </c>
      <c r="AF52" s="59" t="str">
        <f t="shared" si="13"/>
        <v/>
      </c>
      <c r="AG52" s="59" t="str">
        <f t="shared" si="13"/>
        <v/>
      </c>
      <c r="AH52" s="59" t="str">
        <f t="shared" si="26"/>
        <v/>
      </c>
      <c r="AI52" s="59" t="str">
        <f t="shared" si="26"/>
        <v/>
      </c>
      <c r="AJ52" s="59">
        <f t="shared" si="26"/>
        <v>-1</v>
      </c>
      <c r="AK52" s="59" t="str">
        <f t="shared" si="26"/>
        <v/>
      </c>
      <c r="AL52" s="60" t="str">
        <f t="shared" si="27"/>
        <v/>
      </c>
      <c r="AM52" s="65">
        <f t="shared" si="14"/>
        <v>-1</v>
      </c>
      <c r="AO52" s="68"/>
      <c r="AP52" s="59">
        <f t="shared" si="15"/>
        <v>0</v>
      </c>
      <c r="AQ52" s="59">
        <f t="shared" si="16"/>
        <v>0</v>
      </c>
      <c r="AR52" s="59">
        <f t="shared" si="17"/>
        <v>0</v>
      </c>
      <c r="AS52" s="59">
        <f t="shared" si="18"/>
        <v>0</v>
      </c>
      <c r="AT52" s="59">
        <f t="shared" si="19"/>
        <v>0</v>
      </c>
      <c r="AU52" s="59">
        <f t="shared" si="20"/>
        <v>0</v>
      </c>
      <c r="AV52" s="59">
        <f t="shared" si="21"/>
        <v>0</v>
      </c>
      <c r="AW52" s="59">
        <f t="shared" si="22"/>
        <v>-1</v>
      </c>
      <c r="AX52" s="59">
        <f t="shared" si="23"/>
        <v>0</v>
      </c>
      <c r="AY52" s="59">
        <f t="shared" si="24"/>
        <v>0</v>
      </c>
      <c r="AZ52" s="65">
        <f t="shared" si="25"/>
        <v>-0.1</v>
      </c>
    </row>
    <row r="53" spans="1:52" ht="38.25">
      <c r="A53" s="515" t="s">
        <v>112</v>
      </c>
      <c r="B53" s="495"/>
      <c r="C53" s="496"/>
      <c r="D53" s="496"/>
      <c r="E53" s="496">
        <v>876136</v>
      </c>
      <c r="F53" s="496"/>
      <c r="G53" s="496">
        <v>155915</v>
      </c>
      <c r="H53" s="496">
        <v>166785</v>
      </c>
      <c r="I53" s="496">
        <v>155915</v>
      </c>
      <c r="J53" s="496">
        <v>148</v>
      </c>
      <c r="K53" s="496"/>
      <c r="L53" s="497"/>
      <c r="M53" s="463"/>
      <c r="O53" s="58">
        <f t="shared" si="1"/>
        <v>0</v>
      </c>
      <c r="P53" s="59">
        <f t="shared" si="2"/>
        <v>0</v>
      </c>
      <c r="Q53" s="59">
        <f t="shared" si="3"/>
        <v>0</v>
      </c>
      <c r="R53" s="59">
        <f t="shared" si="4"/>
        <v>9.3013142360412154E-5</v>
      </c>
      <c r="S53" s="59">
        <f t="shared" si="5"/>
        <v>0</v>
      </c>
      <c r="T53" s="59">
        <f t="shared" si="6"/>
        <v>1.1114015791870858E-5</v>
      </c>
      <c r="U53" s="59">
        <f t="shared" si="7"/>
        <v>1.1182618481637019E-5</v>
      </c>
      <c r="V53" s="59">
        <f t="shared" si="8"/>
        <v>7.7632970930435987E-6</v>
      </c>
      <c r="W53" s="59">
        <f t="shared" si="9"/>
        <v>6.4880989791683886E-9</v>
      </c>
      <c r="X53" s="59">
        <f t="shared" si="10"/>
        <v>0</v>
      </c>
      <c r="Y53" s="60">
        <f t="shared" si="11"/>
        <v>0</v>
      </c>
      <c r="Z53" s="60">
        <f t="shared" si="12"/>
        <v>1.1189051075085709E-5</v>
      </c>
      <c r="AB53" s="68"/>
      <c r="AC53" s="59" t="str">
        <f t="shared" si="13"/>
        <v/>
      </c>
      <c r="AD53" s="59" t="str">
        <f t="shared" si="13"/>
        <v/>
      </c>
      <c r="AE53" s="59" t="str">
        <f t="shared" si="13"/>
        <v/>
      </c>
      <c r="AF53" s="59">
        <f t="shared" si="13"/>
        <v>-1</v>
      </c>
      <c r="AG53" s="59" t="str">
        <f t="shared" si="13"/>
        <v/>
      </c>
      <c r="AH53" s="59">
        <f t="shared" si="26"/>
        <v>6.9717474264823887E-2</v>
      </c>
      <c r="AI53" s="59">
        <f t="shared" si="26"/>
        <v>-6.5173726654075614E-2</v>
      </c>
      <c r="AJ53" s="59">
        <f t="shared" si="26"/>
        <v>-0.99905076483981659</v>
      </c>
      <c r="AK53" s="59">
        <f t="shared" si="26"/>
        <v>-1</v>
      </c>
      <c r="AL53" s="60" t="str">
        <f t="shared" si="27"/>
        <v/>
      </c>
      <c r="AM53" s="65">
        <f t="shared" si="14"/>
        <v>-0.59890140344581366</v>
      </c>
      <c r="AO53" s="68"/>
      <c r="AP53" s="59">
        <f t="shared" si="15"/>
        <v>0</v>
      </c>
      <c r="AQ53" s="59">
        <f t="shared" si="16"/>
        <v>0</v>
      </c>
      <c r="AR53" s="59">
        <f t="shared" si="17"/>
        <v>0</v>
      </c>
      <c r="AS53" s="59">
        <f t="shared" si="18"/>
        <v>-1</v>
      </c>
      <c r="AT53" s="59">
        <f t="shared" si="19"/>
        <v>0</v>
      </c>
      <c r="AU53" s="59">
        <f t="shared" si="20"/>
        <v>2.0210941590714127E-2</v>
      </c>
      <c r="AV53" s="59">
        <f t="shared" si="21"/>
        <v>-0.10525816103950569</v>
      </c>
      <c r="AW53" s="59">
        <f t="shared" si="22"/>
        <v>-0.99910186852097316</v>
      </c>
      <c r="AX53" s="59">
        <f t="shared" si="23"/>
        <v>-1</v>
      </c>
      <c r="AY53" s="59">
        <f t="shared" si="24"/>
        <v>0</v>
      </c>
      <c r="AZ53" s="65">
        <f t="shared" si="25"/>
        <v>-0.30841490879697647</v>
      </c>
    </row>
    <row r="54" spans="1:52" ht="51">
      <c r="A54" s="515" t="s">
        <v>113</v>
      </c>
      <c r="B54" s="495">
        <v>14058</v>
      </c>
      <c r="C54" s="496">
        <v>37280</v>
      </c>
      <c r="D54" s="496">
        <v>5920</v>
      </c>
      <c r="E54" s="496">
        <v>503235</v>
      </c>
      <c r="F54" s="496">
        <v>6401</v>
      </c>
      <c r="G54" s="496">
        <v>39287</v>
      </c>
      <c r="H54" s="496">
        <v>853400</v>
      </c>
      <c r="I54" s="496">
        <v>521501</v>
      </c>
      <c r="J54" s="496">
        <v>490065</v>
      </c>
      <c r="K54" s="496">
        <v>22209</v>
      </c>
      <c r="L54" s="497">
        <v>44587</v>
      </c>
      <c r="M54" s="463"/>
      <c r="O54" s="58">
        <f t="shared" si="1"/>
        <v>3.6712999534975722E-6</v>
      </c>
      <c r="P54" s="59">
        <f t="shared" si="2"/>
        <v>6.2229781155333426E-6</v>
      </c>
      <c r="Q54" s="59">
        <f t="shared" si="3"/>
        <v>5.4906778172491957E-7</v>
      </c>
      <c r="R54" s="59">
        <f t="shared" si="4"/>
        <v>5.3424889167597273E-5</v>
      </c>
      <c r="S54" s="59">
        <f t="shared" si="5"/>
        <v>5.4080007909263252E-7</v>
      </c>
      <c r="T54" s="59">
        <f t="shared" si="6"/>
        <v>2.8004767880911422E-6</v>
      </c>
      <c r="U54" s="59">
        <f t="shared" si="7"/>
        <v>5.7218854286830546E-5</v>
      </c>
      <c r="V54" s="59">
        <f t="shared" si="8"/>
        <v>2.5966502243654104E-5</v>
      </c>
      <c r="W54" s="59">
        <f t="shared" si="9"/>
        <v>2.1483717744771329E-5</v>
      </c>
      <c r="X54" s="59">
        <f t="shared" si="10"/>
        <v>8.0369638880325241E-7</v>
      </c>
      <c r="Y54" s="60">
        <f t="shared" si="11"/>
        <v>1.6326428077509186E-6</v>
      </c>
      <c r="Z54" s="60">
        <f t="shared" si="12"/>
        <v>1.5846811396122458E-5</v>
      </c>
      <c r="AB54" s="68"/>
      <c r="AC54" s="59">
        <f t="shared" si="13"/>
        <v>1.6518708208849056</v>
      </c>
      <c r="AD54" s="59">
        <f t="shared" si="13"/>
        <v>-0.84120171673819744</v>
      </c>
      <c r="AE54" s="59">
        <f t="shared" si="13"/>
        <v>84.005912162162161</v>
      </c>
      <c r="AF54" s="59">
        <f t="shared" si="13"/>
        <v>-0.98728029648176296</v>
      </c>
      <c r="AG54" s="59">
        <f t="shared" si="13"/>
        <v>5.1376347445711605</v>
      </c>
      <c r="AH54" s="59">
        <f t="shared" si="26"/>
        <v>20.722198182604934</v>
      </c>
      <c r="AI54" s="59">
        <f t="shared" si="26"/>
        <v>-0.38891375673775486</v>
      </c>
      <c r="AJ54" s="59">
        <f t="shared" si="26"/>
        <v>-6.0279846059739128E-2</v>
      </c>
      <c r="AK54" s="59">
        <f t="shared" si="26"/>
        <v>-0.95468152183893973</v>
      </c>
      <c r="AL54" s="60">
        <f t="shared" si="27"/>
        <v>1.0076095276689632</v>
      </c>
      <c r="AM54" s="65">
        <f t="shared" si="14"/>
        <v>10.929286830003575</v>
      </c>
      <c r="AO54" s="68"/>
      <c r="AP54" s="59">
        <f t="shared" si="15"/>
        <v>1.4385019042619822</v>
      </c>
      <c r="AQ54" s="59">
        <f t="shared" si="16"/>
        <v>-0.85248649952456801</v>
      </c>
      <c r="AR54" s="59">
        <f t="shared" si="17"/>
        <v>78.452203161194646</v>
      </c>
      <c r="AS54" s="59">
        <f t="shared" si="18"/>
        <v>-0.98805549486502298</v>
      </c>
      <c r="AT54" s="59">
        <f t="shared" si="19"/>
        <v>4.817799878432858</v>
      </c>
      <c r="AU54" s="59">
        <f t="shared" si="20"/>
        <v>19.716894688970136</v>
      </c>
      <c r="AV54" s="59">
        <f t="shared" si="21"/>
        <v>-0.41511653592817266</v>
      </c>
      <c r="AW54" s="59">
        <f t="shared" si="22"/>
        <v>-0.11087127075384529</v>
      </c>
      <c r="AX54" s="59">
        <f t="shared" si="23"/>
        <v>-0.95790983731674539</v>
      </c>
      <c r="AY54" s="59">
        <f t="shared" si="24"/>
        <v>0.96824463496957169</v>
      </c>
      <c r="AZ54" s="65">
        <f t="shared" si="25"/>
        <v>10.206920462944082</v>
      </c>
    </row>
    <row r="55" spans="1:52" ht="38.25">
      <c r="A55" s="515" t="s">
        <v>114</v>
      </c>
      <c r="B55" s="495"/>
      <c r="C55" s="496"/>
      <c r="D55" s="496"/>
      <c r="E55" s="496"/>
      <c r="F55" s="496"/>
      <c r="G55" s="496"/>
      <c r="H55" s="496"/>
      <c r="I55" s="496"/>
      <c r="J55" s="496">
        <v>2987877</v>
      </c>
      <c r="K55" s="496">
        <v>1383693.4</v>
      </c>
      <c r="L55" s="497">
        <v>1843410</v>
      </c>
      <c r="M55" s="463"/>
      <c r="O55" s="58">
        <f t="shared" si="1"/>
        <v>0</v>
      </c>
      <c r="P55" s="59">
        <f t="shared" si="2"/>
        <v>0</v>
      </c>
      <c r="Q55" s="59">
        <f t="shared" si="3"/>
        <v>0</v>
      </c>
      <c r="R55" s="59">
        <f t="shared" si="4"/>
        <v>0</v>
      </c>
      <c r="S55" s="59">
        <f t="shared" si="5"/>
        <v>0</v>
      </c>
      <c r="T55" s="59">
        <f t="shared" si="6"/>
        <v>0</v>
      </c>
      <c r="U55" s="59">
        <f t="shared" si="7"/>
        <v>0</v>
      </c>
      <c r="V55" s="59">
        <f t="shared" si="8"/>
        <v>0</v>
      </c>
      <c r="W55" s="59">
        <f t="shared" si="9"/>
        <v>1.3098406563230209E-4</v>
      </c>
      <c r="X55" s="59">
        <f t="shared" si="10"/>
        <v>5.0072915880539159E-5</v>
      </c>
      <c r="Y55" s="60">
        <f t="shared" si="11"/>
        <v>6.7500169965149499E-5</v>
      </c>
      <c r="Z55" s="60">
        <f t="shared" si="12"/>
        <v>2.259610467981734E-5</v>
      </c>
      <c r="AB55" s="68"/>
      <c r="AC55" s="59" t="str">
        <f t="shared" si="13"/>
        <v/>
      </c>
      <c r="AD55" s="59" t="str">
        <f t="shared" si="13"/>
        <v/>
      </c>
      <c r="AE55" s="59" t="str">
        <f t="shared" si="13"/>
        <v/>
      </c>
      <c r="AF55" s="59" t="str">
        <f t="shared" si="13"/>
        <v/>
      </c>
      <c r="AG55" s="59" t="str">
        <f t="shared" si="13"/>
        <v/>
      </c>
      <c r="AH55" s="59" t="str">
        <f t="shared" si="26"/>
        <v/>
      </c>
      <c r="AI55" s="59" t="str">
        <f t="shared" si="26"/>
        <v/>
      </c>
      <c r="AJ55" s="59" t="str">
        <f t="shared" si="26"/>
        <v/>
      </c>
      <c r="AK55" s="59">
        <f t="shared" si="26"/>
        <v>-0.53689746934027072</v>
      </c>
      <c r="AL55" s="60">
        <f t="shared" si="27"/>
        <v>0.33223877486154096</v>
      </c>
      <c r="AM55" s="65">
        <f t="shared" si="14"/>
        <v>-0.10232934723936488</v>
      </c>
      <c r="AO55" s="68"/>
      <c r="AP55" s="59">
        <f t="shared" si="15"/>
        <v>0</v>
      </c>
      <c r="AQ55" s="59">
        <f t="shared" si="16"/>
        <v>0</v>
      </c>
      <c r="AR55" s="59">
        <f t="shared" si="17"/>
        <v>0</v>
      </c>
      <c r="AS55" s="59">
        <f t="shared" si="18"/>
        <v>0</v>
      </c>
      <c r="AT55" s="59">
        <f t="shared" si="19"/>
        <v>0</v>
      </c>
      <c r="AU55" s="59">
        <f t="shared" si="20"/>
        <v>0</v>
      </c>
      <c r="AV55" s="59">
        <f t="shared" si="21"/>
        <v>0</v>
      </c>
      <c r="AW55" s="59">
        <f t="shared" si="22"/>
        <v>0</v>
      </c>
      <c r="AX55" s="59">
        <f t="shared" si="23"/>
        <v>-0.56988712672078634</v>
      </c>
      <c r="AY55" s="59">
        <f t="shared" si="24"/>
        <v>0.30611644594268728</v>
      </c>
      <c r="AZ55" s="65">
        <f t="shared" si="25"/>
        <v>-2.6377068077809908E-2</v>
      </c>
    </row>
    <row r="56" spans="1:52" ht="25.5">
      <c r="A56" s="515" t="s">
        <v>21</v>
      </c>
      <c r="B56" s="495">
        <v>36772419</v>
      </c>
      <c r="C56" s="496">
        <v>46071965</v>
      </c>
      <c r="D56" s="496">
        <v>20220674</v>
      </c>
      <c r="E56" s="496">
        <v>191229332</v>
      </c>
      <c r="F56" s="496">
        <v>63901456</v>
      </c>
      <c r="G56" s="496">
        <v>72161149</v>
      </c>
      <c r="H56" s="496">
        <v>69530501</v>
      </c>
      <c r="I56" s="496">
        <v>114985308</v>
      </c>
      <c r="J56" s="496">
        <v>177179147</v>
      </c>
      <c r="K56" s="496">
        <v>229329506.03999999</v>
      </c>
      <c r="L56" s="497">
        <v>185052126.91999999</v>
      </c>
      <c r="M56" s="463"/>
      <c r="O56" s="58">
        <f t="shared" si="1"/>
        <v>9.6032565204647348E-3</v>
      </c>
      <c r="P56" s="59">
        <f t="shared" si="2"/>
        <v>7.6905802021088546E-3</v>
      </c>
      <c r="Q56" s="59">
        <f t="shared" si="3"/>
        <v>1.8754257800950604E-3</v>
      </c>
      <c r="R56" s="59">
        <f t="shared" si="4"/>
        <v>2.0301461280899904E-2</v>
      </c>
      <c r="S56" s="59">
        <f t="shared" si="5"/>
        <v>5.3988302544812341E-3</v>
      </c>
      <c r="T56" s="59">
        <f t="shared" si="6"/>
        <v>5.1438293271689446E-3</v>
      </c>
      <c r="U56" s="59">
        <f t="shared" si="7"/>
        <v>4.6618884523193412E-3</v>
      </c>
      <c r="V56" s="59">
        <f t="shared" si="8"/>
        <v>5.7253317983460396E-3</v>
      </c>
      <c r="W56" s="59">
        <f t="shared" si="9"/>
        <v>7.7672692079772017E-3</v>
      </c>
      <c r="X56" s="59">
        <f t="shared" si="10"/>
        <v>8.2989461862479925E-3</v>
      </c>
      <c r="Y56" s="60">
        <f t="shared" si="11"/>
        <v>6.7760563409726632E-3</v>
      </c>
      <c r="Z56" s="60">
        <f t="shared" si="12"/>
        <v>7.5675341228256341E-3</v>
      </c>
      <c r="AB56" s="68"/>
      <c r="AC56" s="59">
        <f t="shared" si="13"/>
        <v>0.25289459472328968</v>
      </c>
      <c r="AD56" s="59">
        <f t="shared" si="13"/>
        <v>-0.56110675982671898</v>
      </c>
      <c r="AE56" s="59">
        <f t="shared" si="13"/>
        <v>8.4571195796935346</v>
      </c>
      <c r="AF56" s="59">
        <f t="shared" si="13"/>
        <v>-0.66583862772683844</v>
      </c>
      <c r="AG56" s="59">
        <f t="shared" si="13"/>
        <v>0.12925672616911887</v>
      </c>
      <c r="AH56" s="59">
        <f t="shared" si="26"/>
        <v>-3.6455184492697024E-2</v>
      </c>
      <c r="AI56" s="59">
        <f t="shared" si="26"/>
        <v>0.65373909789604423</v>
      </c>
      <c r="AJ56" s="59">
        <f t="shared" si="26"/>
        <v>0.54088509290247755</v>
      </c>
      <c r="AK56" s="59">
        <f t="shared" si="26"/>
        <v>0.29433688965665916</v>
      </c>
      <c r="AL56" s="60">
        <f t="shared" si="27"/>
        <v>-0.193073189248823</v>
      </c>
      <c r="AM56" s="65">
        <f t="shared" si="14"/>
        <v>0.88717582197460487</v>
      </c>
      <c r="AO56" s="68"/>
      <c r="AP56" s="59">
        <f t="shared" si="15"/>
        <v>0.15208698365359985</v>
      </c>
      <c r="AQ56" s="59">
        <f t="shared" si="16"/>
        <v>-0.59229610759565166</v>
      </c>
      <c r="AR56" s="59">
        <f t="shared" si="17"/>
        <v>7.8392556123876389</v>
      </c>
      <c r="AS56" s="59">
        <f t="shared" si="18"/>
        <v>-0.68620398885044454</v>
      </c>
      <c r="AT56" s="59">
        <f t="shared" si="19"/>
        <v>7.041065779244593E-2</v>
      </c>
      <c r="AU56" s="59">
        <f t="shared" si="20"/>
        <v>-8.1048045728945306E-2</v>
      </c>
      <c r="AV56" s="59">
        <f t="shared" si="21"/>
        <v>0.58282838619452937</v>
      </c>
      <c r="AW56" s="59">
        <f t="shared" si="22"/>
        <v>0.45792893642016996</v>
      </c>
      <c r="AX56" s="59">
        <f t="shared" si="23"/>
        <v>0.20213326800098375</v>
      </c>
      <c r="AY56" s="59">
        <f t="shared" si="24"/>
        <v>-0.20889528357727749</v>
      </c>
      <c r="AZ56" s="65">
        <f t="shared" si="25"/>
        <v>0.7736200418697049</v>
      </c>
    </row>
    <row r="57" spans="1:52" ht="38.25">
      <c r="A57" s="515" t="s">
        <v>22</v>
      </c>
      <c r="B57" s="495">
        <v>2017643623</v>
      </c>
      <c r="C57" s="496">
        <v>2786042743</v>
      </c>
      <c r="D57" s="496">
        <v>5892665406</v>
      </c>
      <c r="E57" s="496">
        <v>4256883432</v>
      </c>
      <c r="F57" s="496">
        <v>6132523306</v>
      </c>
      <c r="G57" s="496">
        <v>7669656382</v>
      </c>
      <c r="H57" s="496">
        <v>7603879892</v>
      </c>
      <c r="I57" s="496">
        <v>10886408235</v>
      </c>
      <c r="J57" s="496">
        <v>12098979169.360001</v>
      </c>
      <c r="K57" s="496">
        <v>14716345531.1</v>
      </c>
      <c r="L57" s="497">
        <v>13272647472.24</v>
      </c>
      <c r="M57" s="463"/>
      <c r="O57" s="58">
        <f t="shared" si="1"/>
        <v>0.52691527523791248</v>
      </c>
      <c r="P57" s="59">
        <f t="shared" si="2"/>
        <v>0.46506123977010422</v>
      </c>
      <c r="Q57" s="59">
        <f t="shared" si="3"/>
        <v>0.54653255454722849</v>
      </c>
      <c r="R57" s="59">
        <f t="shared" si="4"/>
        <v>0.45192310859535034</v>
      </c>
      <c r="S57" s="59">
        <f t="shared" si="5"/>
        <v>0.51811733930982851</v>
      </c>
      <c r="T57" s="59">
        <f t="shared" si="6"/>
        <v>0.5467125173830043</v>
      </c>
      <c r="U57" s="59">
        <f t="shared" si="7"/>
        <v>0.50982575059164381</v>
      </c>
      <c r="V57" s="59">
        <f t="shared" si="8"/>
        <v>0.54205446175455463</v>
      </c>
      <c r="W57" s="59">
        <f t="shared" si="9"/>
        <v>0.53040117836286638</v>
      </c>
      <c r="X57" s="59">
        <f t="shared" si="10"/>
        <v>0.53255318833472698</v>
      </c>
      <c r="Y57" s="60">
        <f t="shared" si="11"/>
        <v>0.4860047196574348</v>
      </c>
      <c r="Z57" s="60">
        <f t="shared" si="12"/>
        <v>0.51419103032224123</v>
      </c>
      <c r="AB57" s="68"/>
      <c r="AC57" s="59">
        <f t="shared" si="13"/>
        <v>0.38083986252115243</v>
      </c>
      <c r="AD57" s="59">
        <f t="shared" si="13"/>
        <v>1.1150664040619853</v>
      </c>
      <c r="AE57" s="59">
        <f t="shared" si="13"/>
        <v>-0.27759627626819305</v>
      </c>
      <c r="AF57" s="59">
        <f t="shared" si="13"/>
        <v>0.4406133980320841</v>
      </c>
      <c r="AG57" s="59">
        <f t="shared" si="13"/>
        <v>0.25065262687156586</v>
      </c>
      <c r="AH57" s="59">
        <f t="shared" si="26"/>
        <v>-8.5761977752186747E-3</v>
      </c>
      <c r="AI57" s="59">
        <f t="shared" si="26"/>
        <v>0.43169124047494889</v>
      </c>
      <c r="AJ57" s="59">
        <f t="shared" si="26"/>
        <v>0.11138393014342074</v>
      </c>
      <c r="AK57" s="59">
        <f t="shared" si="26"/>
        <v>0.21632952045808418</v>
      </c>
      <c r="AL57" s="60">
        <f t="shared" si="27"/>
        <v>-9.8101669046098294E-2</v>
      </c>
      <c r="AM57" s="65">
        <f t="shared" si="14"/>
        <v>0.25623028394737318</v>
      </c>
      <c r="AO57" s="68"/>
      <c r="AP57" s="59">
        <f t="shared" si="15"/>
        <v>0.26973780461715169</v>
      </c>
      <c r="AQ57" s="59">
        <f t="shared" si="16"/>
        <v>0.96476210316951727</v>
      </c>
      <c r="AR57" s="59">
        <f t="shared" si="17"/>
        <v>-0.32479322952443512</v>
      </c>
      <c r="AS57" s="59">
        <f t="shared" si="18"/>
        <v>0.35281566159459499</v>
      </c>
      <c r="AT57" s="59">
        <f t="shared" si="19"/>
        <v>0.18548056431851268</v>
      </c>
      <c r="AU57" s="59">
        <f t="shared" si="20"/>
        <v>-5.44592987243393E-2</v>
      </c>
      <c r="AV57" s="59">
        <f t="shared" si="21"/>
        <v>0.37030172327234778</v>
      </c>
      <c r="AW57" s="59">
        <f t="shared" si="22"/>
        <v>5.1550695565730775E-2</v>
      </c>
      <c r="AX57" s="59">
        <f t="shared" si="23"/>
        <v>0.12968284615778236</v>
      </c>
      <c r="AY57" s="59">
        <f t="shared" si="24"/>
        <v>-0.11578595004519443</v>
      </c>
      <c r="AZ57" s="65">
        <f t="shared" si="25"/>
        <v>0.18292929204016689</v>
      </c>
    </row>
    <row r="58" spans="1:52" ht="38.25">
      <c r="A58" s="515" t="s">
        <v>115</v>
      </c>
      <c r="B58" s="495">
        <v>170690163</v>
      </c>
      <c r="C58" s="496">
        <v>533828831</v>
      </c>
      <c r="D58" s="496">
        <v>300068202</v>
      </c>
      <c r="E58" s="496">
        <v>480901653</v>
      </c>
      <c r="F58" s="496">
        <v>505286457</v>
      </c>
      <c r="G58" s="496">
        <v>569870321</v>
      </c>
      <c r="H58" s="496">
        <v>579057265</v>
      </c>
      <c r="I58" s="496">
        <v>883667170</v>
      </c>
      <c r="J58" s="496">
        <v>1022688980</v>
      </c>
      <c r="K58" s="496">
        <v>1248500718.72</v>
      </c>
      <c r="L58" s="497">
        <v>1803113344</v>
      </c>
      <c r="M58" s="463"/>
      <c r="O58" s="58">
        <f t="shared" si="1"/>
        <v>4.4576382663564736E-2</v>
      </c>
      <c r="P58" s="59">
        <f t="shared" si="2"/>
        <v>8.9109579741248585E-2</v>
      </c>
      <c r="Q58" s="59">
        <f t="shared" si="3"/>
        <v>2.7830706425392752E-2</v>
      </c>
      <c r="R58" s="59">
        <f t="shared" si="4"/>
        <v>5.1053916186352945E-2</v>
      </c>
      <c r="S58" s="59">
        <f t="shared" si="5"/>
        <v>4.2690041541952203E-2</v>
      </c>
      <c r="T58" s="59">
        <f t="shared" si="6"/>
        <v>4.0621798716688681E-2</v>
      </c>
      <c r="U58" s="59">
        <f t="shared" si="7"/>
        <v>3.8824693308841834E-2</v>
      </c>
      <c r="V58" s="59">
        <f t="shared" si="8"/>
        <v>4.3999427714325516E-2</v>
      </c>
      <c r="W58" s="59">
        <f t="shared" si="9"/>
        <v>4.4833157615842979E-2</v>
      </c>
      <c r="X58" s="59">
        <f t="shared" si="10"/>
        <v>4.5180580802986592E-2</v>
      </c>
      <c r="Y58" s="60">
        <f t="shared" si="11"/>
        <v>6.602462674414758E-2</v>
      </c>
      <c r="Z58" s="60">
        <f t="shared" si="12"/>
        <v>4.861317376921314E-2</v>
      </c>
      <c r="AB58" s="68"/>
      <c r="AC58" s="59">
        <f t="shared" si="13"/>
        <v>2.1274727354967724</v>
      </c>
      <c r="AD58" s="59">
        <f t="shared" si="13"/>
        <v>-0.43789435007117483</v>
      </c>
      <c r="AE58" s="59">
        <f t="shared" si="13"/>
        <v>0.6026411655574222</v>
      </c>
      <c r="AF58" s="59">
        <f t="shared" si="13"/>
        <v>5.0706425831312352E-2</v>
      </c>
      <c r="AG58" s="59">
        <f t="shared" si="13"/>
        <v>0.12781633686255711</v>
      </c>
      <c r="AH58" s="59">
        <f t="shared" si="26"/>
        <v>1.6121113280437083E-2</v>
      </c>
      <c r="AI58" s="59">
        <f t="shared" si="26"/>
        <v>0.52604452687421155</v>
      </c>
      <c r="AJ58" s="59">
        <f t="shared" si="26"/>
        <v>0.15732372404420092</v>
      </c>
      <c r="AK58" s="59">
        <f t="shared" si="26"/>
        <v>0.22080196729997037</v>
      </c>
      <c r="AL58" s="60">
        <f t="shared" si="27"/>
        <v>0.44422291230124822</v>
      </c>
      <c r="AM58" s="65">
        <f t="shared" si="14"/>
        <v>0.38352565574769576</v>
      </c>
      <c r="AO58" s="68"/>
      <c r="AP58" s="59">
        <f t="shared" si="15"/>
        <v>1.8758369981579519</v>
      </c>
      <c r="AQ58" s="59">
        <f t="shared" si="16"/>
        <v>-0.47783961920220608</v>
      </c>
      <c r="AR58" s="59">
        <f t="shared" si="17"/>
        <v>0.49793547579906727</v>
      </c>
      <c r="AS58" s="59">
        <f t="shared" si="18"/>
        <v>-1.3328551196063132E-2</v>
      </c>
      <c r="AT58" s="59">
        <f t="shared" si="19"/>
        <v>6.9045327810888679E-2</v>
      </c>
      <c r="AU58" s="59">
        <f t="shared" si="20"/>
        <v>-3.0904979408235889E-2</v>
      </c>
      <c r="AV58" s="59">
        <f t="shared" si="21"/>
        <v>0.46060923322570035</v>
      </c>
      <c r="AW58" s="59">
        <f t="shared" si="22"/>
        <v>9.5017242921942469E-2</v>
      </c>
      <c r="AX58" s="59">
        <f t="shared" si="23"/>
        <v>0.13383669295065515</v>
      </c>
      <c r="AY58" s="59">
        <f t="shared" si="24"/>
        <v>0.41590481598161588</v>
      </c>
      <c r="AZ58" s="65">
        <f t="shared" si="25"/>
        <v>0.30261126370413166</v>
      </c>
    </row>
    <row r="59" spans="1:52" ht="25.5">
      <c r="A59" s="515" t="s">
        <v>116</v>
      </c>
      <c r="B59" s="495">
        <v>24746862</v>
      </c>
      <c r="C59" s="496">
        <v>42974382</v>
      </c>
      <c r="D59" s="496">
        <v>3672679</v>
      </c>
      <c r="E59" s="496">
        <v>366365</v>
      </c>
      <c r="F59" s="496">
        <v>170607</v>
      </c>
      <c r="G59" s="496">
        <v>133632972</v>
      </c>
      <c r="H59" s="496">
        <v>3071009</v>
      </c>
      <c r="I59" s="496">
        <v>4042476</v>
      </c>
      <c r="J59" s="496">
        <v>10062843</v>
      </c>
      <c r="K59" s="496">
        <v>32388275</v>
      </c>
      <c r="L59" s="497">
        <v>60342782</v>
      </c>
      <c r="M59" s="463"/>
      <c r="O59" s="58">
        <f t="shared" si="1"/>
        <v>6.4627367555705533E-3</v>
      </c>
      <c r="P59" s="59">
        <f t="shared" si="2"/>
        <v>7.1735149869788092E-3</v>
      </c>
      <c r="Q59" s="59">
        <f t="shared" si="3"/>
        <v>3.4063339721582703E-4</v>
      </c>
      <c r="R59" s="59">
        <f t="shared" si="4"/>
        <v>3.8894372450021912E-5</v>
      </c>
      <c r="S59" s="59">
        <f t="shared" si="5"/>
        <v>1.4414041414428489E-5</v>
      </c>
      <c r="T59" s="59">
        <f t="shared" si="6"/>
        <v>9.5256964443615842E-3</v>
      </c>
      <c r="U59" s="59">
        <f t="shared" si="7"/>
        <v>2.0590533921320038E-4</v>
      </c>
      <c r="V59" s="59">
        <f t="shared" si="8"/>
        <v>2.012823793701601E-4</v>
      </c>
      <c r="W59" s="59">
        <f t="shared" si="9"/>
        <v>4.4114000943129572E-4</v>
      </c>
      <c r="X59" s="59">
        <f t="shared" si="10"/>
        <v>1.1720626618518016E-3</v>
      </c>
      <c r="Y59" s="60">
        <f t="shared" si="11"/>
        <v>2.2095724994276715E-3</v>
      </c>
      <c r="Z59" s="60">
        <f t="shared" si="12"/>
        <v>2.5259866261168507E-3</v>
      </c>
      <c r="AB59" s="68"/>
      <c r="AC59" s="59">
        <f t="shared" si="13"/>
        <v>0.73655884127854265</v>
      </c>
      <c r="AD59" s="59">
        <f t="shared" si="13"/>
        <v>-0.91453794495520613</v>
      </c>
      <c r="AE59" s="59">
        <f t="shared" si="13"/>
        <v>-0.90024584234015548</v>
      </c>
      <c r="AF59" s="59">
        <f t="shared" si="13"/>
        <v>-0.53432505834345534</v>
      </c>
      <c r="AG59" s="59">
        <f t="shared" si="13"/>
        <v>782.27953718194442</v>
      </c>
      <c r="AH59" s="59">
        <f t="shared" si="26"/>
        <v>-0.97701907729777948</v>
      </c>
      <c r="AI59" s="59">
        <f t="shared" si="26"/>
        <v>0.31633479419956112</v>
      </c>
      <c r="AJ59" s="59">
        <f t="shared" si="26"/>
        <v>1.4892771163019893</v>
      </c>
      <c r="AK59" s="59">
        <f t="shared" si="26"/>
        <v>2.218600846699089</v>
      </c>
      <c r="AL59" s="60">
        <f t="shared" si="27"/>
        <v>0.86310576898584435</v>
      </c>
      <c r="AM59" s="65">
        <f t="shared" si="14"/>
        <v>78.457728662647284</v>
      </c>
      <c r="AO59" s="68"/>
      <c r="AP59" s="59">
        <f t="shared" si="15"/>
        <v>0.5968357161182003</v>
      </c>
      <c r="AQ59" s="59">
        <f t="shared" si="16"/>
        <v>-0.92061118899694017</v>
      </c>
      <c r="AR59" s="59">
        <f t="shared" si="17"/>
        <v>-0.90676310154234552</v>
      </c>
      <c r="AS59" s="59">
        <f t="shared" si="18"/>
        <v>-0.56270547313687236</v>
      </c>
      <c r="AT59" s="59">
        <f t="shared" si="19"/>
        <v>741.46249342660394</v>
      </c>
      <c r="AU59" s="59">
        <f t="shared" si="20"/>
        <v>-0.97808263457155453</v>
      </c>
      <c r="AV59" s="59">
        <f t="shared" si="21"/>
        <v>0.25989164835333201</v>
      </c>
      <c r="AW59" s="59">
        <f t="shared" si="22"/>
        <v>1.3552626703585857</v>
      </c>
      <c r="AX59" s="59">
        <f t="shared" si="23"/>
        <v>1.9893200025068163</v>
      </c>
      <c r="AY59" s="59">
        <f t="shared" si="24"/>
        <v>0.82657428331945515</v>
      </c>
      <c r="AZ59" s="65">
        <f t="shared" si="25"/>
        <v>74.312221534901255</v>
      </c>
    </row>
    <row r="60" spans="1:52" ht="51">
      <c r="A60" s="515" t="s">
        <v>117</v>
      </c>
      <c r="B60" s="495">
        <v>9924800</v>
      </c>
      <c r="C60" s="496">
        <v>8060692</v>
      </c>
      <c r="D60" s="496">
        <v>8730767</v>
      </c>
      <c r="E60" s="496">
        <v>11274464</v>
      </c>
      <c r="F60" s="496">
        <v>9896632</v>
      </c>
      <c r="G60" s="496">
        <v>3152783</v>
      </c>
      <c r="H60" s="496">
        <v>21841152</v>
      </c>
      <c r="I60" s="496">
        <v>7002718</v>
      </c>
      <c r="J60" s="496">
        <v>35990177</v>
      </c>
      <c r="K60" s="496">
        <v>59141237</v>
      </c>
      <c r="L60" s="497">
        <v>152082019</v>
      </c>
      <c r="M60" s="463"/>
      <c r="O60" s="58">
        <f t="shared" si="1"/>
        <v>2.5918991164086431E-3</v>
      </c>
      <c r="P60" s="59">
        <f t="shared" si="2"/>
        <v>1.3455340641645571E-3</v>
      </c>
      <c r="Q60" s="59">
        <f t="shared" si="3"/>
        <v>8.0976061983904248E-4</v>
      </c>
      <c r="R60" s="59">
        <f t="shared" si="4"/>
        <v>1.1969298431628672E-3</v>
      </c>
      <c r="S60" s="59">
        <f t="shared" si="5"/>
        <v>8.3613488022975756E-4</v>
      </c>
      <c r="T60" s="59">
        <f t="shared" si="6"/>
        <v>2.2473835134747768E-4</v>
      </c>
      <c r="U60" s="59">
        <f t="shared" si="7"/>
        <v>1.4644078904904119E-3</v>
      </c>
      <c r="V60" s="59">
        <f t="shared" si="8"/>
        <v>3.486783201924387E-4</v>
      </c>
      <c r="W60" s="59">
        <f t="shared" si="9"/>
        <v>1.5777556125256057E-3</v>
      </c>
      <c r="X60" s="59">
        <f t="shared" si="10"/>
        <v>2.1401953535169211E-3</v>
      </c>
      <c r="Y60" s="60">
        <f t="shared" si="11"/>
        <v>5.5687894343326204E-3</v>
      </c>
      <c r="Z60" s="60">
        <f t="shared" si="12"/>
        <v>1.6458930442009403E-3</v>
      </c>
      <c r="AB60" s="68"/>
      <c r="AC60" s="59">
        <f t="shared" si="13"/>
        <v>-0.18782323069482509</v>
      </c>
      <c r="AD60" s="59">
        <f t="shared" si="13"/>
        <v>8.3128718973507487E-2</v>
      </c>
      <c r="AE60" s="59">
        <f t="shared" si="13"/>
        <v>0.29134862950757934</v>
      </c>
      <c r="AF60" s="59">
        <f t="shared" si="13"/>
        <v>-0.12220820431020052</v>
      </c>
      <c r="AG60" s="59">
        <f t="shared" si="13"/>
        <v>-0.68142869210454626</v>
      </c>
      <c r="AH60" s="59">
        <f t="shared" si="26"/>
        <v>5.9275785869182878</v>
      </c>
      <c r="AI60" s="59">
        <f t="shared" si="26"/>
        <v>-0.67937964078085256</v>
      </c>
      <c r="AJ60" s="59">
        <f t="shared" si="26"/>
        <v>4.1394582789139873</v>
      </c>
      <c r="AK60" s="59">
        <f t="shared" si="26"/>
        <v>0.64326052078043405</v>
      </c>
      <c r="AL60" s="60">
        <f t="shared" si="27"/>
        <v>1.5715055469671695</v>
      </c>
      <c r="AM60" s="65">
        <f t="shared" si="14"/>
        <v>1.0985440514170541</v>
      </c>
      <c r="AO60" s="68"/>
      <c r="AP60" s="59">
        <f t="shared" si="15"/>
        <v>-0.25317078684581606</v>
      </c>
      <c r="AQ60" s="59">
        <f t="shared" si="16"/>
        <v>6.1576581268067976E-3</v>
      </c>
      <c r="AR60" s="59">
        <f t="shared" si="17"/>
        <v>0.20698067997717473</v>
      </c>
      <c r="AS60" s="59">
        <f t="shared" si="18"/>
        <v>-0.17570495286900223</v>
      </c>
      <c r="AT60" s="59">
        <f t="shared" si="19"/>
        <v>-0.6980295841185864</v>
      </c>
      <c r="AU60" s="59">
        <f t="shared" si="20"/>
        <v>5.6069701983328466</v>
      </c>
      <c r="AV60" s="59">
        <f t="shared" si="21"/>
        <v>-0.69312752754675777</v>
      </c>
      <c r="AW60" s="59">
        <f t="shared" si="22"/>
        <v>3.8627668454101496</v>
      </c>
      <c r="AX60" s="59">
        <f t="shared" si="23"/>
        <v>0.52620091091337806</v>
      </c>
      <c r="AY60" s="59">
        <f t="shared" si="24"/>
        <v>1.5210838695756563</v>
      </c>
      <c r="AZ60" s="65">
        <f t="shared" si="25"/>
        <v>0.99101273109558508</v>
      </c>
    </row>
    <row r="61" spans="1:52" ht="38.25">
      <c r="A61" s="515" t="s">
        <v>118</v>
      </c>
      <c r="B61" s="495"/>
      <c r="C61" s="496"/>
      <c r="D61" s="496"/>
      <c r="E61" s="496"/>
      <c r="F61" s="496"/>
      <c r="G61" s="496">
        <v>330636</v>
      </c>
      <c r="H61" s="496">
        <v>10401805</v>
      </c>
      <c r="I61" s="496">
        <v>330636</v>
      </c>
      <c r="J61" s="496">
        <v>184282</v>
      </c>
      <c r="K61" s="496">
        <v>-123</v>
      </c>
      <c r="L61" s="497"/>
      <c r="M61" s="463"/>
      <c r="O61" s="58">
        <f t="shared" si="1"/>
        <v>0</v>
      </c>
      <c r="P61" s="59">
        <f t="shared" si="2"/>
        <v>0</v>
      </c>
      <c r="Q61" s="59">
        <f t="shared" si="3"/>
        <v>0</v>
      </c>
      <c r="R61" s="59">
        <f t="shared" si="4"/>
        <v>0</v>
      </c>
      <c r="S61" s="59">
        <f t="shared" si="5"/>
        <v>0</v>
      </c>
      <c r="T61" s="59">
        <f t="shared" si="6"/>
        <v>2.3568570858230531E-5</v>
      </c>
      <c r="U61" s="59">
        <f t="shared" si="7"/>
        <v>6.9742133186668088E-4</v>
      </c>
      <c r="V61" s="59">
        <f t="shared" si="8"/>
        <v>1.6462979813716211E-5</v>
      </c>
      <c r="W61" s="59">
        <f t="shared" si="9"/>
        <v>8.0786476762101961E-6</v>
      </c>
      <c r="X61" s="59">
        <f t="shared" si="10"/>
        <v>-4.4511079212391395E-9</v>
      </c>
      <c r="Y61" s="60">
        <f t="shared" si="11"/>
        <v>0</v>
      </c>
      <c r="Z61" s="60">
        <f t="shared" si="12"/>
        <v>6.7775189009719694E-5</v>
      </c>
      <c r="AB61" s="68"/>
      <c r="AC61" s="59" t="str">
        <f t="shared" si="13"/>
        <v/>
      </c>
      <c r="AD61" s="59" t="str">
        <f t="shared" si="13"/>
        <v/>
      </c>
      <c r="AE61" s="59" t="str">
        <f t="shared" si="13"/>
        <v/>
      </c>
      <c r="AF61" s="59" t="str">
        <f t="shared" si="13"/>
        <v/>
      </c>
      <c r="AG61" s="59" t="str">
        <f t="shared" si="13"/>
        <v/>
      </c>
      <c r="AH61" s="59">
        <f t="shared" si="26"/>
        <v>30.459989232872402</v>
      </c>
      <c r="AI61" s="59">
        <f t="shared" si="26"/>
        <v>-0.96821359369840143</v>
      </c>
      <c r="AJ61" s="59">
        <f t="shared" si="26"/>
        <v>-0.44264387423027141</v>
      </c>
      <c r="AK61" s="59">
        <f t="shared" si="26"/>
        <v>-1.0006674553130528</v>
      </c>
      <c r="AL61" s="60">
        <f t="shared" si="27"/>
        <v>-1</v>
      </c>
      <c r="AM61" s="65">
        <f t="shared" si="14"/>
        <v>5.4096928619261355</v>
      </c>
      <c r="AO61" s="68"/>
      <c r="AP61" s="59">
        <f t="shared" si="15"/>
        <v>0</v>
      </c>
      <c r="AQ61" s="59">
        <f t="shared" si="16"/>
        <v>0</v>
      </c>
      <c r="AR61" s="59">
        <f t="shared" si="17"/>
        <v>0</v>
      </c>
      <c r="AS61" s="59">
        <f t="shared" si="18"/>
        <v>0</v>
      </c>
      <c r="AT61" s="59">
        <f t="shared" si="19"/>
        <v>0</v>
      </c>
      <c r="AU61" s="59">
        <f t="shared" si="20"/>
        <v>29.004020696923476</v>
      </c>
      <c r="AV61" s="59">
        <f t="shared" si="21"/>
        <v>-0.96957656364701517</v>
      </c>
      <c r="AW61" s="59">
        <f t="shared" si="22"/>
        <v>-0.47265008442640877</v>
      </c>
      <c r="AX61" s="59">
        <f t="shared" si="23"/>
        <v>-1.0006199083431344</v>
      </c>
      <c r="AY61" s="59">
        <f t="shared" si="24"/>
        <v>-1</v>
      </c>
      <c r="AZ61" s="65">
        <f t="shared" si="25"/>
        <v>2.5561174140506919</v>
      </c>
    </row>
    <row r="62" spans="1:52" ht="51">
      <c r="A62" s="515" t="s">
        <v>119</v>
      </c>
      <c r="B62" s="495">
        <v>24886346</v>
      </c>
      <c r="C62" s="496">
        <v>36185112</v>
      </c>
      <c r="D62" s="496">
        <v>31570791</v>
      </c>
      <c r="E62" s="496">
        <v>29657030</v>
      </c>
      <c r="F62" s="496">
        <v>28000</v>
      </c>
      <c r="G62" s="496">
        <v>9341477</v>
      </c>
      <c r="H62" s="496">
        <v>8504765</v>
      </c>
      <c r="I62" s="496">
        <v>571850</v>
      </c>
      <c r="J62" s="496">
        <v>934098</v>
      </c>
      <c r="K62" s="496">
        <v>12676821</v>
      </c>
      <c r="L62" s="497">
        <v>9814735</v>
      </c>
      <c r="M62" s="463"/>
      <c r="O62" s="58">
        <f t="shared" si="1"/>
        <v>6.4991635305537412E-3</v>
      </c>
      <c r="P62" s="59">
        <f t="shared" si="2"/>
        <v>6.0402135215698212E-3</v>
      </c>
      <c r="Q62" s="59">
        <f t="shared" si="3"/>
        <v>2.9281257063633543E-3</v>
      </c>
      <c r="R62" s="59">
        <f t="shared" si="4"/>
        <v>3.1484764390197571E-3</v>
      </c>
      <c r="S62" s="59">
        <f t="shared" si="5"/>
        <v>2.3656307162308562E-6</v>
      </c>
      <c r="T62" s="59">
        <f t="shared" si="6"/>
        <v>6.658841221011347E-4</v>
      </c>
      <c r="U62" s="59">
        <f t="shared" si="7"/>
        <v>5.7022839146793586E-4</v>
      </c>
      <c r="V62" s="59">
        <f t="shared" si="8"/>
        <v>2.8473472357739677E-5</v>
      </c>
      <c r="W62" s="59">
        <f t="shared" si="9"/>
        <v>4.0949461352994819E-5</v>
      </c>
      <c r="X62" s="59">
        <f t="shared" si="10"/>
        <v>4.5874714121325747E-4</v>
      </c>
      <c r="Y62" s="60">
        <f t="shared" si="11"/>
        <v>3.5938628989910093E-4</v>
      </c>
      <c r="Z62" s="60">
        <f t="shared" si="12"/>
        <v>1.8856376096922792E-3</v>
      </c>
      <c r="AB62" s="68"/>
      <c r="AC62" s="59">
        <f t="shared" si="13"/>
        <v>0.45401466330171569</v>
      </c>
      <c r="AD62" s="59">
        <f t="shared" si="13"/>
        <v>-0.12751987613027149</v>
      </c>
      <c r="AE62" s="59">
        <f t="shared" si="13"/>
        <v>-6.0618088409631565E-2</v>
      </c>
      <c r="AF62" s="59">
        <f t="shared" si="13"/>
        <v>-0.99905587309315869</v>
      </c>
      <c r="AG62" s="59">
        <f t="shared" si="13"/>
        <v>332.62417857142856</v>
      </c>
      <c r="AH62" s="59">
        <f t="shared" si="26"/>
        <v>-8.9569561644266771E-2</v>
      </c>
      <c r="AI62" s="59">
        <f t="shared" si="26"/>
        <v>-0.93276122267928629</v>
      </c>
      <c r="AJ62" s="59">
        <f t="shared" si="26"/>
        <v>0.6334668182215617</v>
      </c>
      <c r="AK62" s="59">
        <f t="shared" si="26"/>
        <v>12.571189532575811</v>
      </c>
      <c r="AL62" s="60">
        <f t="shared" si="27"/>
        <v>-0.22577316505455114</v>
      </c>
      <c r="AM62" s="65">
        <f t="shared" si="14"/>
        <v>34.384755179851652</v>
      </c>
      <c r="AO62" s="68"/>
      <c r="AP62" s="59">
        <f t="shared" si="15"/>
        <v>0.33702497774870421</v>
      </c>
      <c r="AQ62" s="59">
        <f t="shared" si="16"/>
        <v>-0.18952148270345703</v>
      </c>
      <c r="AR62" s="59">
        <f t="shared" si="17"/>
        <v>-0.12199092289899205</v>
      </c>
      <c r="AS62" s="59">
        <f t="shared" si="18"/>
        <v>-0.99911341261447895</v>
      </c>
      <c r="AT62" s="59">
        <f t="shared" si="19"/>
        <v>315.23887479650517</v>
      </c>
      <c r="AU62" s="59">
        <f t="shared" si="20"/>
        <v>-0.13170428911044996</v>
      </c>
      <c r="AV62" s="59">
        <f t="shared" si="21"/>
        <v>-0.93564435555061853</v>
      </c>
      <c r="AW62" s="59">
        <f t="shared" si="22"/>
        <v>0.54552636788869502</v>
      </c>
      <c r="AX62" s="59">
        <f t="shared" si="23"/>
        <v>11.604429769272603</v>
      </c>
      <c r="AY62" s="59">
        <f t="shared" si="24"/>
        <v>-0.2409540833868149</v>
      </c>
      <c r="AZ62" s="65">
        <f t="shared" si="25"/>
        <v>32.510692736515026</v>
      </c>
    </row>
    <row r="63" spans="1:52" ht="38.25">
      <c r="A63" s="515" t="s">
        <v>120</v>
      </c>
      <c r="B63" s="495">
        <v>101232</v>
      </c>
      <c r="C63" s="496">
        <v>111674</v>
      </c>
      <c r="D63" s="496">
        <v>116240</v>
      </c>
      <c r="E63" s="496">
        <v>120241</v>
      </c>
      <c r="F63" s="496">
        <v>116076</v>
      </c>
      <c r="G63" s="496">
        <v>72081</v>
      </c>
      <c r="H63" s="496">
        <v>96021</v>
      </c>
      <c r="I63" s="496"/>
      <c r="J63" s="496"/>
      <c r="K63" s="496"/>
      <c r="L63" s="497"/>
      <c r="M63" s="463"/>
      <c r="O63" s="58">
        <f t="shared" si="1"/>
        <v>2.643712027973156E-5</v>
      </c>
      <c r="P63" s="59">
        <f t="shared" si="2"/>
        <v>1.8641224733746525E-5</v>
      </c>
      <c r="Q63" s="59">
        <f t="shared" si="3"/>
        <v>1.0781020092517679E-5</v>
      </c>
      <c r="R63" s="59">
        <f t="shared" si="4"/>
        <v>1.2765133781237521E-5</v>
      </c>
      <c r="S63" s="59">
        <f t="shared" si="5"/>
        <v>9.8068911077576033E-6</v>
      </c>
      <c r="T63" s="59">
        <f t="shared" si="6"/>
        <v>5.1381161036067302E-6</v>
      </c>
      <c r="U63" s="59">
        <f t="shared" si="7"/>
        <v>6.4380262567093464E-6</v>
      </c>
      <c r="V63" s="59">
        <f t="shared" si="8"/>
        <v>0</v>
      </c>
      <c r="W63" s="59">
        <f t="shared" si="9"/>
        <v>0</v>
      </c>
      <c r="X63" s="59">
        <f t="shared" si="10"/>
        <v>0</v>
      </c>
      <c r="Y63" s="60">
        <f t="shared" si="11"/>
        <v>0</v>
      </c>
      <c r="Z63" s="60">
        <f t="shared" si="12"/>
        <v>8.1825029413915422E-6</v>
      </c>
      <c r="AB63" s="68"/>
      <c r="AC63" s="59">
        <f t="shared" si="13"/>
        <v>0.10314920183341236</v>
      </c>
      <c r="AD63" s="59">
        <f t="shared" si="13"/>
        <v>4.088686713111378E-2</v>
      </c>
      <c r="AE63" s="59">
        <f t="shared" si="13"/>
        <v>3.4420165175498951E-2</v>
      </c>
      <c r="AF63" s="59">
        <f t="shared" si="13"/>
        <v>-3.4638767142655125E-2</v>
      </c>
      <c r="AG63" s="59">
        <f t="shared" si="13"/>
        <v>-0.37901891863951209</v>
      </c>
      <c r="AH63" s="59">
        <f t="shared" si="26"/>
        <v>0.33212635784742162</v>
      </c>
      <c r="AI63" s="59">
        <f t="shared" si="26"/>
        <v>-1</v>
      </c>
      <c r="AJ63" s="59" t="str">
        <f t="shared" si="26"/>
        <v/>
      </c>
      <c r="AK63" s="59" t="str">
        <f t="shared" si="26"/>
        <v/>
      </c>
      <c r="AL63" s="60" t="str">
        <f t="shared" si="27"/>
        <v/>
      </c>
      <c r="AM63" s="65">
        <f t="shared" si="14"/>
        <v>-0.12901072768496008</v>
      </c>
      <c r="AO63" s="68"/>
      <c r="AP63" s="59">
        <f t="shared" si="15"/>
        <v>1.4390070651413733E-2</v>
      </c>
      <c r="AQ63" s="59">
        <f t="shared" si="16"/>
        <v>-3.3082334295296056E-2</v>
      </c>
      <c r="AR63" s="59">
        <f t="shared" si="17"/>
        <v>-3.3161823370876808E-2</v>
      </c>
      <c r="AS63" s="59">
        <f t="shared" si="18"/>
        <v>-9.3472407871776797E-2</v>
      </c>
      <c r="AT63" s="59">
        <f t="shared" si="19"/>
        <v>-0.4113785179472137</v>
      </c>
      <c r="AU63" s="59">
        <f t="shared" si="20"/>
        <v>0.27047554008720853</v>
      </c>
      <c r="AV63" s="59">
        <f t="shared" si="21"/>
        <v>-1</v>
      </c>
      <c r="AW63" s="59">
        <f t="shared" si="22"/>
        <v>0</v>
      </c>
      <c r="AX63" s="59">
        <f t="shared" si="23"/>
        <v>0</v>
      </c>
      <c r="AY63" s="59">
        <f t="shared" si="24"/>
        <v>0</v>
      </c>
      <c r="AZ63" s="65">
        <f t="shared" si="25"/>
        <v>-0.12862294727465412</v>
      </c>
    </row>
    <row r="64" spans="1:52" ht="51">
      <c r="A64" s="515" t="s">
        <v>121</v>
      </c>
      <c r="B64" s="495">
        <v>2802453</v>
      </c>
      <c r="C64" s="496">
        <v>2338188</v>
      </c>
      <c r="D64" s="496">
        <v>1424248</v>
      </c>
      <c r="E64" s="496">
        <v>4166004</v>
      </c>
      <c r="F64" s="496">
        <v>28271246</v>
      </c>
      <c r="G64" s="496">
        <v>31413990</v>
      </c>
      <c r="H64" s="496">
        <v>11413128</v>
      </c>
      <c r="I64" s="496">
        <v>11728359</v>
      </c>
      <c r="J64" s="496">
        <v>11967243</v>
      </c>
      <c r="K64" s="496">
        <v>13482146.550000001</v>
      </c>
      <c r="L64" s="497">
        <v>14642628.83</v>
      </c>
      <c r="M64" s="463"/>
      <c r="O64" s="58">
        <f t="shared" si="1"/>
        <v>7.318712169995115E-4</v>
      </c>
      <c r="P64" s="59">
        <f t="shared" si="2"/>
        <v>3.9030291722110178E-4</v>
      </c>
      <c r="Q64" s="59">
        <f t="shared" si="3"/>
        <v>1.3209606249766102E-4</v>
      </c>
      <c r="R64" s="59">
        <f t="shared" si="4"/>
        <v>4.4227508414908923E-4</v>
      </c>
      <c r="S64" s="59">
        <f t="shared" si="5"/>
        <v>2.3885474258470976E-3</v>
      </c>
      <c r="T64" s="59">
        <f t="shared" si="6"/>
        <v>2.2392687101669066E-3</v>
      </c>
      <c r="U64" s="59">
        <f t="shared" si="7"/>
        <v>7.6522862431327139E-4</v>
      </c>
      <c r="V64" s="59">
        <f t="shared" si="8"/>
        <v>5.8397675227445545E-4</v>
      </c>
      <c r="W64" s="59">
        <f t="shared" si="9"/>
        <v>5.2462606143081111E-4</v>
      </c>
      <c r="X64" s="59">
        <f t="shared" si="10"/>
        <v>4.8789015694318652E-4</v>
      </c>
      <c r="Y64" s="60">
        <f t="shared" si="11"/>
        <v>5.361693463535503E-4</v>
      </c>
      <c r="Z64" s="60">
        <f t="shared" si="12"/>
        <v>8.3838657801787661E-4</v>
      </c>
      <c r="AB64" s="68"/>
      <c r="AC64" s="59">
        <f t="shared" si="13"/>
        <v>-0.16566379525365815</v>
      </c>
      <c r="AD64" s="59">
        <f t="shared" si="13"/>
        <v>-0.39087532739026976</v>
      </c>
      <c r="AE64" s="59">
        <f t="shared" si="13"/>
        <v>1.9250551870179913</v>
      </c>
      <c r="AF64" s="59">
        <f t="shared" si="13"/>
        <v>5.7861783137990264</v>
      </c>
      <c r="AG64" s="59">
        <f t="shared" ref="AG64:AJ127" si="28">+IF(F64=0,"",G64/F64-1)</f>
        <v>0.11116397204424588</v>
      </c>
      <c r="AH64" s="59">
        <f t="shared" si="26"/>
        <v>-0.63668645721221662</v>
      </c>
      <c r="AI64" s="59">
        <f t="shared" si="26"/>
        <v>2.7620035453908898E-2</v>
      </c>
      <c r="AJ64" s="59">
        <f t="shared" si="26"/>
        <v>2.0368066836971899E-2</v>
      </c>
      <c r="AK64" s="59">
        <f t="shared" si="26"/>
        <v>0.12658751476843921</v>
      </c>
      <c r="AL64" s="60">
        <f t="shared" si="27"/>
        <v>8.6075483284225207E-2</v>
      </c>
      <c r="AM64" s="65">
        <f t="shared" si="14"/>
        <v>0.68898229933486643</v>
      </c>
      <c r="AO64" s="68"/>
      <c r="AP64" s="59">
        <f t="shared" si="15"/>
        <v>-0.23279429448612232</v>
      </c>
      <c r="AQ64" s="59">
        <f t="shared" si="16"/>
        <v>-0.43416193905273548</v>
      </c>
      <c r="AR64" s="59">
        <f t="shared" si="17"/>
        <v>1.7339519459930752</v>
      </c>
      <c r="AS64" s="59">
        <f t="shared" si="18"/>
        <v>5.3725967826077818</v>
      </c>
      <c r="AT64" s="59">
        <f t="shared" si="19"/>
        <v>5.3260725101957007E-2</v>
      </c>
      <c r="AU64" s="59">
        <f t="shared" si="20"/>
        <v>-0.65350061067767373</v>
      </c>
      <c r="AV64" s="59">
        <f t="shared" si="21"/>
        <v>-1.6443304504298428E-2</v>
      </c>
      <c r="AW64" s="59">
        <f t="shared" si="22"/>
        <v>-3.4565174721381431E-2</v>
      </c>
      <c r="AX64" s="59">
        <f t="shared" si="23"/>
        <v>4.633371855525148E-2</v>
      </c>
      <c r="AY64" s="59">
        <f t="shared" si="24"/>
        <v>6.4779885572769702E-2</v>
      </c>
      <c r="AZ64" s="65">
        <f t="shared" si="25"/>
        <v>0.58994577343886234</v>
      </c>
    </row>
    <row r="65" spans="1:52" ht="25.5">
      <c r="A65" s="515" t="s">
        <v>122</v>
      </c>
      <c r="B65" s="495">
        <v>1066473</v>
      </c>
      <c r="C65" s="496">
        <v>4670336</v>
      </c>
      <c r="D65" s="496"/>
      <c r="E65" s="496">
        <v>221077</v>
      </c>
      <c r="F65" s="496">
        <v>266563</v>
      </c>
      <c r="G65" s="496">
        <v>34178027</v>
      </c>
      <c r="H65" s="496">
        <v>8940865</v>
      </c>
      <c r="I65" s="496">
        <v>26798303</v>
      </c>
      <c r="J65" s="496">
        <v>42059387</v>
      </c>
      <c r="K65" s="496">
        <v>26401972</v>
      </c>
      <c r="L65" s="497">
        <v>50226903.409999996</v>
      </c>
      <c r="M65" s="463"/>
      <c r="O65" s="58">
        <f t="shared" si="1"/>
        <v>2.7851346388578865E-4</v>
      </c>
      <c r="P65" s="59">
        <f t="shared" si="2"/>
        <v>7.7959760515524485E-4</v>
      </c>
      <c r="Q65" s="59">
        <f t="shared" si="3"/>
        <v>0</v>
      </c>
      <c r="R65" s="59">
        <f t="shared" si="4"/>
        <v>2.3470176403678009E-5</v>
      </c>
      <c r="S65" s="59">
        <f t="shared" si="5"/>
        <v>2.2521057878951635E-5</v>
      </c>
      <c r="T65" s="59">
        <f t="shared" si="6"/>
        <v>2.4362962627905499E-3</v>
      </c>
      <c r="U65" s="59">
        <f t="shared" si="7"/>
        <v>5.9946807081465105E-4</v>
      </c>
      <c r="V65" s="59">
        <f t="shared" si="8"/>
        <v>1.3343372207831289E-3</v>
      </c>
      <c r="W65" s="59">
        <f t="shared" si="9"/>
        <v>1.8438207152645149E-3</v>
      </c>
      <c r="X65" s="59">
        <f t="shared" si="10"/>
        <v>9.5543111142710547E-4</v>
      </c>
      <c r="Y65" s="60">
        <f t="shared" si="11"/>
        <v>1.8391592304469145E-3</v>
      </c>
      <c r="Z65" s="60">
        <f t="shared" si="12"/>
        <v>9.1932862862277522E-4</v>
      </c>
      <c r="AB65" s="68"/>
      <c r="AC65" s="59">
        <f t="shared" si="13"/>
        <v>3.3792351048737288</v>
      </c>
      <c r="AD65" s="59">
        <f t="shared" si="13"/>
        <v>-1</v>
      </c>
      <c r="AE65" s="59" t="str">
        <f t="shared" si="13"/>
        <v/>
      </c>
      <c r="AF65" s="59">
        <f t="shared" si="13"/>
        <v>0.20574731880747432</v>
      </c>
      <c r="AG65" s="59">
        <f t="shared" si="28"/>
        <v>127.21744578204778</v>
      </c>
      <c r="AH65" s="59">
        <f t="shared" si="26"/>
        <v>-0.73840312666380647</v>
      </c>
      <c r="AI65" s="59">
        <f t="shared" si="26"/>
        <v>1.9972830369321088</v>
      </c>
      <c r="AJ65" s="59">
        <f t="shared" si="26"/>
        <v>0.56947949278728571</v>
      </c>
      <c r="AK65" s="59">
        <f t="shared" si="26"/>
        <v>-0.37226921543102853</v>
      </c>
      <c r="AL65" s="60">
        <f t="shared" si="27"/>
        <v>0.90239211714943091</v>
      </c>
      <c r="AM65" s="65">
        <f t="shared" si="14"/>
        <v>14.684545612278107</v>
      </c>
      <c r="AO65" s="68"/>
      <c r="AP65" s="59">
        <f t="shared" si="15"/>
        <v>3.0268828550563027</v>
      </c>
      <c r="AQ65" s="59">
        <f t="shared" si="16"/>
        <v>-1</v>
      </c>
      <c r="AR65" s="59">
        <f t="shared" si="17"/>
        <v>0</v>
      </c>
      <c r="AS65" s="59">
        <f t="shared" si="18"/>
        <v>0.13226342267581415</v>
      </c>
      <c r="AT65" s="59">
        <f t="shared" si="19"/>
        <v>120.53597786892881</v>
      </c>
      <c r="AU65" s="59">
        <f t="shared" si="20"/>
        <v>-0.75050983190966014</v>
      </c>
      <c r="AV65" s="59">
        <f t="shared" si="21"/>
        <v>1.8687624779212375</v>
      </c>
      <c r="AW65" s="59">
        <f t="shared" si="22"/>
        <v>0.48498390839936212</v>
      </c>
      <c r="AX65" s="59">
        <f t="shared" si="23"/>
        <v>-0.41698636150369506</v>
      </c>
      <c r="AY65" s="59">
        <f t="shared" si="24"/>
        <v>0.86509031093081457</v>
      </c>
      <c r="AZ65" s="65">
        <f t="shared" si="25"/>
        <v>12.474646465049899</v>
      </c>
    </row>
    <row r="66" spans="1:52" ht="38.25">
      <c r="A66" s="515" t="s">
        <v>123</v>
      </c>
      <c r="B66" s="495"/>
      <c r="C66" s="496"/>
      <c r="D66" s="496"/>
      <c r="E66" s="496"/>
      <c r="F66" s="496"/>
      <c r="G66" s="496"/>
      <c r="H66" s="496"/>
      <c r="I66" s="496">
        <v>23152</v>
      </c>
      <c r="J66" s="496"/>
      <c r="K66" s="496"/>
      <c r="L66" s="497"/>
      <c r="M66" s="463"/>
      <c r="O66" s="58">
        <f t="shared" si="1"/>
        <v>0</v>
      </c>
      <c r="P66" s="59">
        <f t="shared" si="2"/>
        <v>0</v>
      </c>
      <c r="Q66" s="59">
        <f t="shared" si="3"/>
        <v>0</v>
      </c>
      <c r="R66" s="59">
        <f t="shared" si="4"/>
        <v>0</v>
      </c>
      <c r="S66" s="59">
        <f t="shared" si="5"/>
        <v>0</v>
      </c>
      <c r="T66" s="59">
        <f t="shared" si="6"/>
        <v>0</v>
      </c>
      <c r="U66" s="59">
        <f t="shared" si="7"/>
        <v>0</v>
      </c>
      <c r="V66" s="59">
        <f t="shared" si="8"/>
        <v>1.1527810300365287E-6</v>
      </c>
      <c r="W66" s="59">
        <f t="shared" si="9"/>
        <v>0</v>
      </c>
      <c r="X66" s="59">
        <f t="shared" si="10"/>
        <v>0</v>
      </c>
      <c r="Y66" s="60">
        <f t="shared" si="11"/>
        <v>0</v>
      </c>
      <c r="Z66" s="60">
        <f t="shared" si="12"/>
        <v>1.0479827545786624E-7</v>
      </c>
      <c r="AB66" s="68"/>
      <c r="AC66" s="59" t="str">
        <f t="shared" si="13"/>
        <v/>
      </c>
      <c r="AD66" s="59" t="str">
        <f t="shared" si="13"/>
        <v/>
      </c>
      <c r="AE66" s="59" t="str">
        <f t="shared" si="13"/>
        <v/>
      </c>
      <c r="AF66" s="59" t="str">
        <f t="shared" si="13"/>
        <v/>
      </c>
      <c r="AG66" s="59" t="str">
        <f t="shared" si="28"/>
        <v/>
      </c>
      <c r="AH66" s="59" t="str">
        <f t="shared" si="26"/>
        <v/>
      </c>
      <c r="AI66" s="59" t="str">
        <f t="shared" si="26"/>
        <v/>
      </c>
      <c r="AJ66" s="59">
        <f t="shared" si="26"/>
        <v>-1</v>
      </c>
      <c r="AK66" s="59" t="str">
        <f t="shared" si="26"/>
        <v/>
      </c>
      <c r="AL66" s="60" t="str">
        <f t="shared" si="27"/>
        <v/>
      </c>
      <c r="AM66" s="65">
        <f t="shared" si="14"/>
        <v>-1</v>
      </c>
      <c r="AO66" s="68"/>
      <c r="AP66" s="59">
        <f t="shared" si="15"/>
        <v>0</v>
      </c>
      <c r="AQ66" s="59">
        <f t="shared" si="16"/>
        <v>0</v>
      </c>
      <c r="AR66" s="59">
        <f t="shared" si="17"/>
        <v>0</v>
      </c>
      <c r="AS66" s="59">
        <f t="shared" si="18"/>
        <v>0</v>
      </c>
      <c r="AT66" s="59">
        <f t="shared" si="19"/>
        <v>0</v>
      </c>
      <c r="AU66" s="59">
        <f t="shared" si="20"/>
        <v>0</v>
      </c>
      <c r="AV66" s="59">
        <f t="shared" si="21"/>
        <v>0</v>
      </c>
      <c r="AW66" s="59">
        <f t="shared" si="22"/>
        <v>-1</v>
      </c>
      <c r="AX66" s="59">
        <f t="shared" si="23"/>
        <v>0</v>
      </c>
      <c r="AY66" s="59">
        <f t="shared" si="24"/>
        <v>0</v>
      </c>
      <c r="AZ66" s="65">
        <f t="shared" si="25"/>
        <v>-0.1</v>
      </c>
    </row>
    <row r="67" spans="1:52" ht="25.5">
      <c r="A67" s="515" t="s">
        <v>124</v>
      </c>
      <c r="B67" s="495">
        <v>1445030</v>
      </c>
      <c r="C67" s="496">
        <v>9313</v>
      </c>
      <c r="D67" s="496">
        <v>1282</v>
      </c>
      <c r="E67" s="496">
        <v>9176</v>
      </c>
      <c r="F67" s="496">
        <v>947573</v>
      </c>
      <c r="G67" s="496">
        <v>150715</v>
      </c>
      <c r="H67" s="496">
        <v>284409</v>
      </c>
      <c r="I67" s="496">
        <v>261710</v>
      </c>
      <c r="J67" s="496">
        <v>403246</v>
      </c>
      <c r="K67" s="496">
        <v>461561</v>
      </c>
      <c r="L67" s="497">
        <v>805764</v>
      </c>
      <c r="M67" s="463"/>
      <c r="O67" s="58">
        <f t="shared" si="1"/>
        <v>3.7737505845800233E-4</v>
      </c>
      <c r="P67" s="59">
        <f t="shared" si="2"/>
        <v>1.5545760512328868E-6</v>
      </c>
      <c r="Q67" s="59">
        <f t="shared" si="3"/>
        <v>1.189028540829978E-7</v>
      </c>
      <c r="R67" s="59">
        <f t="shared" si="4"/>
        <v>9.7415081026135434E-7</v>
      </c>
      <c r="S67" s="59">
        <f t="shared" si="5"/>
        <v>8.0057421238250752E-5</v>
      </c>
      <c r="T67" s="59">
        <f t="shared" si="6"/>
        <v>1.0743346631637858E-5</v>
      </c>
      <c r="U67" s="59">
        <f t="shared" si="7"/>
        <v>1.9069084988121853E-5</v>
      </c>
      <c r="V67" s="59">
        <f t="shared" si="8"/>
        <v>1.3031026406827054E-5</v>
      </c>
      <c r="W67" s="59">
        <f t="shared" si="9"/>
        <v>1.7677702438876597E-5</v>
      </c>
      <c r="X67" s="59">
        <f t="shared" si="10"/>
        <v>1.6702909131992345E-5</v>
      </c>
      <c r="Y67" s="60">
        <f t="shared" si="11"/>
        <v>2.9504671750613658E-5</v>
      </c>
      <c r="Z67" s="60">
        <f t="shared" si="12"/>
        <v>5.1528077341809056E-5</v>
      </c>
      <c r="AB67" s="68"/>
      <c r="AC67" s="59">
        <f t="shared" si="13"/>
        <v>-0.99355515110412929</v>
      </c>
      <c r="AD67" s="59">
        <f t="shared" si="13"/>
        <v>-0.86234296145173417</v>
      </c>
      <c r="AE67" s="59">
        <f t="shared" si="13"/>
        <v>6.1575663026521061</v>
      </c>
      <c r="AF67" s="59">
        <f t="shared" si="13"/>
        <v>102.26645597210113</v>
      </c>
      <c r="AG67" s="59">
        <f t="shared" si="28"/>
        <v>-0.84094629120922604</v>
      </c>
      <c r="AH67" s="59">
        <f t="shared" si="26"/>
        <v>0.88706499021331653</v>
      </c>
      <c r="AI67" s="59">
        <f t="shared" si="26"/>
        <v>-7.9811117088418482E-2</v>
      </c>
      <c r="AJ67" s="59">
        <f t="shared" si="26"/>
        <v>0.5408123495472088</v>
      </c>
      <c r="AK67" s="59">
        <f t="shared" si="26"/>
        <v>0.14461395773299679</v>
      </c>
      <c r="AL67" s="60">
        <f t="shared" si="27"/>
        <v>0.74573674985538196</v>
      </c>
      <c r="AM67" s="65">
        <f t="shared" si="14"/>
        <v>10.796559480124863</v>
      </c>
      <c r="AO67" s="68"/>
      <c r="AP67" s="59">
        <f t="shared" si="15"/>
        <v>-0.99407370216471658</v>
      </c>
      <c r="AQ67" s="59">
        <f t="shared" si="16"/>
        <v>-0.87212537060077489</v>
      </c>
      <c r="AR67" s="59">
        <f t="shared" si="17"/>
        <v>5.6899395295374386</v>
      </c>
      <c r="AS67" s="59">
        <f t="shared" si="18"/>
        <v>95.972913862429465</v>
      </c>
      <c r="AT67" s="59">
        <f t="shared" si="19"/>
        <v>-0.84923465045134194</v>
      </c>
      <c r="AU67" s="59">
        <f t="shared" si="20"/>
        <v>0.79973160841512758</v>
      </c>
      <c r="AV67" s="59">
        <f t="shared" si="21"/>
        <v>-0.11926791451801155</v>
      </c>
      <c r="AW67" s="59">
        <f t="shared" si="22"/>
        <v>0.45786010932652932</v>
      </c>
      <c r="AX67" s="59">
        <f t="shared" si="23"/>
        <v>6.3076026500414883E-2</v>
      </c>
      <c r="AY67" s="59">
        <f t="shared" si="24"/>
        <v>0.71150661750527644</v>
      </c>
      <c r="AZ67" s="65">
        <f t="shared" si="25"/>
        <v>10.086032611597942</v>
      </c>
    </row>
    <row r="68" spans="1:52" ht="51">
      <c r="A68" s="515" t="s">
        <v>125</v>
      </c>
      <c r="B68" s="495">
        <v>453349</v>
      </c>
      <c r="C68" s="496"/>
      <c r="D68" s="496"/>
      <c r="E68" s="496">
        <v>181251</v>
      </c>
      <c r="F68" s="496">
        <v>1202286</v>
      </c>
      <c r="G68" s="496">
        <v>1118829</v>
      </c>
      <c r="H68" s="496">
        <v>887382</v>
      </c>
      <c r="I68" s="496">
        <v>7072883</v>
      </c>
      <c r="J68" s="496">
        <v>7290766</v>
      </c>
      <c r="K68" s="496">
        <v>16408171</v>
      </c>
      <c r="L68" s="497">
        <v>18953280</v>
      </c>
      <c r="M68" s="463"/>
      <c r="O68" s="58">
        <f t="shared" si="1"/>
        <v>1.1839380869385197E-4</v>
      </c>
      <c r="P68" s="59">
        <f t="shared" si="2"/>
        <v>0</v>
      </c>
      <c r="Q68" s="59">
        <f t="shared" si="3"/>
        <v>0</v>
      </c>
      <c r="R68" s="59">
        <f t="shared" si="4"/>
        <v>1.9242132575270348E-5</v>
      </c>
      <c r="S68" s="59">
        <f t="shared" si="5"/>
        <v>1.0157731040336898E-4</v>
      </c>
      <c r="T68" s="59">
        <f t="shared" si="6"/>
        <v>7.9752962668140208E-5</v>
      </c>
      <c r="U68" s="59">
        <f t="shared" si="7"/>
        <v>5.9497283049866731E-5</v>
      </c>
      <c r="V68" s="59">
        <f t="shared" si="8"/>
        <v>3.5217196570783751E-4</v>
      </c>
      <c r="W68" s="59">
        <f t="shared" si="9"/>
        <v>3.1961629352672701E-4</v>
      </c>
      <c r="X68" s="59">
        <f t="shared" si="10"/>
        <v>5.9377674724509215E-4</v>
      </c>
      <c r="Y68" s="60">
        <f t="shared" si="11"/>
        <v>6.9401252103279724E-4</v>
      </c>
      <c r="Z68" s="60">
        <f t="shared" si="12"/>
        <v>2.1254918408208654E-4</v>
      </c>
      <c r="AB68" s="68"/>
      <c r="AC68" s="59">
        <f t="shared" si="13"/>
        <v>-1</v>
      </c>
      <c r="AD68" s="59" t="str">
        <f t="shared" si="13"/>
        <v/>
      </c>
      <c r="AE68" s="59" t="str">
        <f t="shared" si="13"/>
        <v/>
      </c>
      <c r="AF68" s="59">
        <f t="shared" si="13"/>
        <v>5.6332654716387776</v>
      </c>
      <c r="AG68" s="59">
        <f t="shared" si="28"/>
        <v>-6.9415263922228188E-2</v>
      </c>
      <c r="AH68" s="59">
        <f t="shared" si="26"/>
        <v>-0.20686539229855505</v>
      </c>
      <c r="AI68" s="59">
        <f t="shared" si="26"/>
        <v>6.9705053742356728</v>
      </c>
      <c r="AJ68" s="59">
        <f t="shared" si="26"/>
        <v>3.0805401418346756E-2</v>
      </c>
      <c r="AK68" s="59">
        <f t="shared" si="26"/>
        <v>1.2505414383070312</v>
      </c>
      <c r="AL68" s="60">
        <f t="shared" si="27"/>
        <v>0.15511229130900706</v>
      </c>
      <c r="AM68" s="65">
        <f t="shared" si="14"/>
        <v>1.5954936650860065</v>
      </c>
      <c r="AO68" s="68"/>
      <c r="AP68" s="59">
        <f t="shared" si="15"/>
        <v>-1</v>
      </c>
      <c r="AQ68" s="59">
        <f t="shared" si="16"/>
        <v>0</v>
      </c>
      <c r="AR68" s="59">
        <f t="shared" si="17"/>
        <v>0</v>
      </c>
      <c r="AS68" s="59">
        <f t="shared" si="18"/>
        <v>5.2290031661552989</v>
      </c>
      <c r="AT68" s="59">
        <f t="shared" si="19"/>
        <v>-0.11790844686326973</v>
      </c>
      <c r="AU68" s="59">
        <f t="shared" si="20"/>
        <v>-0.24357166784867113</v>
      </c>
      <c r="AV68" s="59">
        <f t="shared" si="21"/>
        <v>6.6287379156160728</v>
      </c>
      <c r="AW68" s="59">
        <f t="shared" si="22"/>
        <v>-2.4689751709388918E-2</v>
      </c>
      <c r="AX68" s="59">
        <f t="shared" si="23"/>
        <v>1.0902214528717669</v>
      </c>
      <c r="AY68" s="59">
        <f t="shared" si="24"/>
        <v>0.1324630306951049</v>
      </c>
      <c r="AZ68" s="65">
        <f t="shared" si="25"/>
        <v>1.1694255698916913</v>
      </c>
    </row>
    <row r="69" spans="1:52" ht="25.5">
      <c r="A69" s="515" t="s">
        <v>126</v>
      </c>
      <c r="B69" s="495">
        <v>1460</v>
      </c>
      <c r="C69" s="496">
        <v>1460</v>
      </c>
      <c r="D69" s="496">
        <v>888003</v>
      </c>
      <c r="E69" s="496">
        <v>1460</v>
      </c>
      <c r="F69" s="496">
        <v>1182</v>
      </c>
      <c r="G69" s="496">
        <v>263364</v>
      </c>
      <c r="H69" s="496">
        <v>305441</v>
      </c>
      <c r="I69" s="496">
        <v>553656</v>
      </c>
      <c r="J69" s="496">
        <v>431328</v>
      </c>
      <c r="K69" s="496">
        <v>689779</v>
      </c>
      <c r="L69" s="497">
        <v>1293388</v>
      </c>
      <c r="M69" s="463"/>
      <c r="O69" s="58">
        <f t="shared" ref="O69:O132" si="29">B69/$B$104</f>
        <v>3.8128453066627226E-7</v>
      </c>
      <c r="P69" s="59">
        <f t="shared" ref="P69:P132" si="30">C69/$C$104</f>
        <v>2.4371105280790453E-7</v>
      </c>
      <c r="Q69" s="59">
        <f t="shared" ref="Q69:Q132" si="31">D69/$D$104</f>
        <v>8.2360445502546248E-5</v>
      </c>
      <c r="R69" s="59">
        <f t="shared" ref="R69:R132" si="32">E69/$E$104</f>
        <v>1.5499784034236892E-7</v>
      </c>
      <c r="S69" s="59">
        <f t="shared" ref="S69:S132" si="33">F69/$F$104</f>
        <v>9.9863410949459722E-8</v>
      </c>
      <c r="T69" s="59">
        <f t="shared" ref="T69:T132" si="34">G69/$G$104</f>
        <v>1.8773252445308514E-5</v>
      </c>
      <c r="U69" s="59">
        <f t="shared" ref="U69:U132" si="35">H69/$H$104</f>
        <v>2.0479240768952201E-5</v>
      </c>
      <c r="V69" s="59">
        <f t="shared" ref="V69:V132" si="36">I69/$I$104</f>
        <v>2.7567559345451987E-5</v>
      </c>
      <c r="W69" s="59">
        <f t="shared" ref="W69:W132" si="37">J69/$J$104</f>
        <v>1.890877538166718E-5</v>
      </c>
      <c r="X69" s="59">
        <f t="shared" ref="X69:X132" si="38">K69/$K$104</f>
        <v>2.4961632282962702E-5</v>
      </c>
      <c r="Y69" s="60">
        <f t="shared" ref="Y69:Y132" si="39">L69/$L$104</f>
        <v>4.7360006634923744E-5</v>
      </c>
      <c r="Z69" s="60">
        <f t="shared" ref="Z69:Z132" si="40">AVERAGE(O69:Y69)</f>
        <v>2.1935524472416237E-5</v>
      </c>
      <c r="AB69" s="68"/>
      <c r="AC69" s="59">
        <f t="shared" ref="AC69:AF132" si="41">+IF(B69=0,"",C69/B69-1)</f>
        <v>0</v>
      </c>
      <c r="AD69" s="59">
        <f t="shared" si="41"/>
        <v>607.22123287671229</v>
      </c>
      <c r="AE69" s="59">
        <f t="shared" si="41"/>
        <v>-0.99835586141037813</v>
      </c>
      <c r="AF69" s="59">
        <f t="shared" si="41"/>
        <v>-0.19041095890410964</v>
      </c>
      <c r="AG69" s="59">
        <f t="shared" si="28"/>
        <v>221.81218274111674</v>
      </c>
      <c r="AH69" s="59">
        <f t="shared" si="26"/>
        <v>0.15976747011740411</v>
      </c>
      <c r="AI69" s="59">
        <f t="shared" si="26"/>
        <v>0.81264466787366474</v>
      </c>
      <c r="AJ69" s="59">
        <f t="shared" si="26"/>
        <v>-0.22094585807794009</v>
      </c>
      <c r="AK69" s="59">
        <f t="shared" si="26"/>
        <v>0.59919828993248747</v>
      </c>
      <c r="AL69" s="60">
        <f t="shared" si="27"/>
        <v>0.87507593011674745</v>
      </c>
      <c r="AM69" s="65">
        <f t="shared" ref="AM69:AM132" si="42">AVERAGE(AB69:AL69)</f>
        <v>83.007038929747708</v>
      </c>
      <c r="AO69" s="68"/>
      <c r="AP69" s="59">
        <f t="shared" ref="AP69:AP132" si="43">IF(AC69="",,(((AC69+1)/($C$273+1))-1))</f>
        <v>-8.045977011494243E-2</v>
      </c>
      <c r="AQ69" s="59">
        <f t="shared" ref="AQ69:AQ132" si="44">IF(AD69="",,(((AD69+1)/($D$273+1))-1))</f>
        <v>563.99882292309553</v>
      </c>
      <c r="AR69" s="59">
        <f t="shared" ref="AR69:AR132" si="45">IF(AE69="",,(((AE69+1)/($E$273+1))-1))</f>
        <v>-0.99846327826000392</v>
      </c>
      <c r="AS69" s="59">
        <f t="shared" ref="AS69:AS132" si="46">IF(AF69="",,(((AF69+1)/($F$273+1))-1))</f>
        <v>-0.23975111175144104</v>
      </c>
      <c r="AT69" s="59">
        <f t="shared" ref="AT69:AT132" si="47">IF(AG69="",,(((AG69+1)/($G$273+1))-1))</f>
        <v>210.20134116993631</v>
      </c>
      <c r="AU69" s="59">
        <f t="shared" ref="AU69:AU132" si="48">IF(AH69="",,(((AH69+1)/($H$273+1))-1))</f>
        <v>0.10609342296472324</v>
      </c>
      <c r="AV69" s="59">
        <f t="shared" ref="AV69:AV132" si="49">IF(AI69="",,(((AI69+1)/($I$273+1))-1))</f>
        <v>0.7349202410735689</v>
      </c>
      <c r="AW69" s="59">
        <f t="shared" ref="AW69:AW132" si="50">IF(AJ69="",,(((AJ69+1)/($J$273+1))-1))</f>
        <v>-0.26288755613392001</v>
      </c>
      <c r="AX69" s="59">
        <f t="shared" ref="AX69:AX132" si="51">IF(AK69="",,(((AK69+1)/($K$273+1))-1))</f>
        <v>0.48527750527768876</v>
      </c>
      <c r="AY69" s="59">
        <f t="shared" ref="AY69:AY132" si="52">IF(AL69="",,(((AL69+1)/($L$273+1))-1))</f>
        <v>0.83830973540857601</v>
      </c>
      <c r="AZ69" s="65">
        <f t="shared" ref="AZ69:AZ132" si="53">AVERAGE(AO69:AY69)</f>
        <v>77.478320328149607</v>
      </c>
    </row>
    <row r="70" spans="1:52" ht="51">
      <c r="A70" s="515" t="s">
        <v>127</v>
      </c>
      <c r="B70" s="495">
        <v>460417</v>
      </c>
      <c r="C70" s="496">
        <v>14188</v>
      </c>
      <c r="D70" s="496">
        <v>10715350</v>
      </c>
      <c r="E70" s="496">
        <v>3269529</v>
      </c>
      <c r="F70" s="496">
        <v>451620</v>
      </c>
      <c r="G70" s="496">
        <v>124558</v>
      </c>
      <c r="H70" s="496">
        <v>374603</v>
      </c>
      <c r="I70" s="496">
        <v>696619</v>
      </c>
      <c r="J70" s="496">
        <v>1205414</v>
      </c>
      <c r="K70" s="496">
        <v>1035792</v>
      </c>
      <c r="L70" s="497">
        <v>970075</v>
      </c>
      <c r="M70" s="463"/>
      <c r="O70" s="58">
        <f t="shared" si="29"/>
        <v>1.2023964366833773E-4</v>
      </c>
      <c r="P70" s="59">
        <f t="shared" si="30"/>
        <v>2.3683372720811982E-6</v>
      </c>
      <c r="Q70" s="59">
        <f t="shared" si="31"/>
        <v>9.9382659711251976E-4</v>
      </c>
      <c r="R70" s="59">
        <f t="shared" si="32"/>
        <v>3.471026944772227E-4</v>
      </c>
      <c r="S70" s="59">
        <f t="shared" si="33"/>
        <v>3.8155933716577834E-5</v>
      </c>
      <c r="T70" s="59">
        <f t="shared" si="34"/>
        <v>8.8788094731350437E-6</v>
      </c>
      <c r="U70" s="59">
        <f t="shared" si="35"/>
        <v>2.5116421926891942E-5</v>
      </c>
      <c r="V70" s="59">
        <f t="shared" si="36"/>
        <v>3.4685952330814472E-5</v>
      </c>
      <c r="W70" s="59">
        <f t="shared" si="37"/>
        <v>5.284354961402219E-5</v>
      </c>
      <c r="X70" s="59">
        <f t="shared" si="38"/>
        <v>3.7483105495578297E-5</v>
      </c>
      <c r="Y70" s="60">
        <f t="shared" si="39"/>
        <v>3.552124995467227E-5</v>
      </c>
      <c r="Z70" s="60">
        <f t="shared" si="40"/>
        <v>1.542020268219867E-4</v>
      </c>
      <c r="AB70" s="68"/>
      <c r="AC70" s="59">
        <f t="shared" si="41"/>
        <v>-0.96918445669903586</v>
      </c>
      <c r="AD70" s="59">
        <f t="shared" si="41"/>
        <v>754.24034395263607</v>
      </c>
      <c r="AE70" s="59">
        <f t="shared" si="41"/>
        <v>-0.69487426915593054</v>
      </c>
      <c r="AF70" s="59">
        <f t="shared" si="41"/>
        <v>-0.86187001246968598</v>
      </c>
      <c r="AG70" s="59">
        <f t="shared" si="28"/>
        <v>-0.72419733404189368</v>
      </c>
      <c r="AH70" s="59">
        <f t="shared" si="26"/>
        <v>2.007458372806243</v>
      </c>
      <c r="AI70" s="59">
        <f t="shared" si="26"/>
        <v>0.85961938372089919</v>
      </c>
      <c r="AJ70" s="59">
        <f t="shared" si="26"/>
        <v>0.73037772440889492</v>
      </c>
      <c r="AK70" s="59">
        <f t="shared" si="26"/>
        <v>-0.14071679937349324</v>
      </c>
      <c r="AL70" s="60">
        <f t="shared" si="27"/>
        <v>-6.3446135903733603E-2</v>
      </c>
      <c r="AM70" s="65">
        <f t="shared" si="42"/>
        <v>75.438351042592814</v>
      </c>
      <c r="AO70" s="68"/>
      <c r="AP70" s="59">
        <f t="shared" si="43"/>
        <v>-0.97166386822899853</v>
      </c>
      <c r="AQ70" s="59">
        <f t="shared" si="44"/>
        <v>700.57022197179379</v>
      </c>
      <c r="AR70" s="59">
        <f t="shared" si="45"/>
        <v>-0.71480911221229138</v>
      </c>
      <c r="AS70" s="59">
        <f t="shared" si="46"/>
        <v>-0.87028830169000471</v>
      </c>
      <c r="AT70" s="59">
        <f t="shared" si="47"/>
        <v>-0.73856953317370455</v>
      </c>
      <c r="AU70" s="59">
        <f t="shared" si="48"/>
        <v>1.8682731769191863</v>
      </c>
      <c r="AV70" s="59">
        <f t="shared" si="49"/>
        <v>0.7798807271448116</v>
      </c>
      <c r="AW70" s="59">
        <f t="shared" si="50"/>
        <v>0.63721991144753054</v>
      </c>
      <c r="AX70" s="59">
        <f t="shared" si="51"/>
        <v>-0.20192885610986644</v>
      </c>
      <c r="AY70" s="59">
        <f t="shared" si="52"/>
        <v>-8.1809937160523205E-2</v>
      </c>
      <c r="AZ70" s="65">
        <f t="shared" si="53"/>
        <v>70.027652617872988</v>
      </c>
    </row>
    <row r="71" spans="1:52" ht="38.25">
      <c r="A71" s="515" t="s">
        <v>128</v>
      </c>
      <c r="B71" s="495">
        <v>20593</v>
      </c>
      <c r="C71" s="496">
        <v>20594</v>
      </c>
      <c r="D71" s="496">
        <v>20594</v>
      </c>
      <c r="E71" s="496">
        <v>20594</v>
      </c>
      <c r="F71" s="496">
        <v>20594</v>
      </c>
      <c r="G71" s="496">
        <v>20594</v>
      </c>
      <c r="H71" s="496"/>
      <c r="I71" s="496">
        <v>133471</v>
      </c>
      <c r="J71" s="496">
        <v>160284</v>
      </c>
      <c r="K71" s="496">
        <v>59120</v>
      </c>
      <c r="L71" s="497">
        <v>114301</v>
      </c>
      <c r="M71" s="463"/>
      <c r="O71" s="58">
        <f t="shared" si="29"/>
        <v>5.3779399589113322E-6</v>
      </c>
      <c r="P71" s="59">
        <f t="shared" si="30"/>
        <v>3.4376612476205379E-6</v>
      </c>
      <c r="Q71" s="59">
        <f t="shared" si="31"/>
        <v>1.9100509960883437E-6</v>
      </c>
      <c r="R71" s="59">
        <f t="shared" si="32"/>
        <v>2.1863188520621543E-6</v>
      </c>
      <c r="S71" s="59">
        <f t="shared" si="33"/>
        <v>1.7399213917877949E-6</v>
      </c>
      <c r="T71" s="59">
        <f t="shared" si="34"/>
        <v>1.4679924395843148E-6</v>
      </c>
      <c r="U71" s="59">
        <f t="shared" si="35"/>
        <v>0</v>
      </c>
      <c r="V71" s="59">
        <f t="shared" si="36"/>
        <v>6.6457686964411516E-6</v>
      </c>
      <c r="W71" s="59">
        <f t="shared" si="37"/>
        <v>7.0266111944393648E-6</v>
      </c>
      <c r="X71" s="59">
        <f t="shared" si="38"/>
        <v>2.1394268317370566E-6</v>
      </c>
      <c r="Y71" s="60">
        <f t="shared" si="39"/>
        <v>4.1853613288343631E-6</v>
      </c>
      <c r="Z71" s="60">
        <f t="shared" si="40"/>
        <v>3.2833684488642198E-6</v>
      </c>
      <c r="AB71" s="68"/>
      <c r="AC71" s="59">
        <f t="shared" si="41"/>
        <v>4.8560190355928512E-5</v>
      </c>
      <c r="AD71" s="59">
        <f t="shared" si="41"/>
        <v>0</v>
      </c>
      <c r="AE71" s="59">
        <f t="shared" si="41"/>
        <v>0</v>
      </c>
      <c r="AF71" s="59">
        <f t="shared" si="41"/>
        <v>0</v>
      </c>
      <c r="AG71" s="59">
        <f t="shared" si="28"/>
        <v>0</v>
      </c>
      <c r="AH71" s="59">
        <f t="shared" si="26"/>
        <v>-1</v>
      </c>
      <c r="AI71" s="59" t="str">
        <f t="shared" si="26"/>
        <v/>
      </c>
      <c r="AJ71" s="59">
        <f t="shared" si="26"/>
        <v>0.20089008099137651</v>
      </c>
      <c r="AK71" s="59">
        <f t="shared" si="26"/>
        <v>-0.6311547004067779</v>
      </c>
      <c r="AL71" s="60">
        <f t="shared" si="27"/>
        <v>0.93337280108254395</v>
      </c>
      <c r="AM71" s="65">
        <f t="shared" si="42"/>
        <v>-5.520480646027795E-2</v>
      </c>
      <c r="AO71" s="68"/>
      <c r="AP71" s="59">
        <f t="shared" si="43"/>
        <v>-8.0415117066339303E-2</v>
      </c>
      <c r="AQ71" s="59">
        <f t="shared" si="44"/>
        <v>-7.1063632141198374E-2</v>
      </c>
      <c r="AR71" s="59">
        <f t="shared" si="45"/>
        <v>-6.5333208711094604E-2</v>
      </c>
      <c r="AS71" s="59">
        <f t="shared" si="46"/>
        <v>-6.0944689642219885E-2</v>
      </c>
      <c r="AT71" s="59">
        <f t="shared" si="47"/>
        <v>-5.2110443102076465E-2</v>
      </c>
      <c r="AU71" s="59">
        <f t="shared" si="48"/>
        <v>-1</v>
      </c>
      <c r="AV71" s="59">
        <f t="shared" si="49"/>
        <v>0</v>
      </c>
      <c r="AW71" s="59">
        <f t="shared" si="50"/>
        <v>0.13623813131930795</v>
      </c>
      <c r="AX71" s="59">
        <f t="shared" si="51"/>
        <v>-0.65742983227154994</v>
      </c>
      <c r="AY71" s="59">
        <f t="shared" si="52"/>
        <v>0.89546353047308225</v>
      </c>
      <c r="AZ71" s="65">
        <f t="shared" si="53"/>
        <v>-9.5559526114208843E-2</v>
      </c>
    </row>
    <row r="72" spans="1:52" ht="51">
      <c r="A72" s="515" t="s">
        <v>129</v>
      </c>
      <c r="B72" s="495">
        <v>835451</v>
      </c>
      <c r="C72" s="496">
        <v>460650</v>
      </c>
      <c r="D72" s="496">
        <v>2439900</v>
      </c>
      <c r="E72" s="496">
        <v>2269679</v>
      </c>
      <c r="F72" s="496">
        <v>3269754</v>
      </c>
      <c r="G72" s="496">
        <v>3689298</v>
      </c>
      <c r="H72" s="496">
        <v>5720863</v>
      </c>
      <c r="I72" s="496">
        <v>6489052</v>
      </c>
      <c r="J72" s="496">
        <v>5244940</v>
      </c>
      <c r="K72" s="496">
        <v>7448681</v>
      </c>
      <c r="L72" s="497">
        <v>5803743</v>
      </c>
      <c r="M72" s="463"/>
      <c r="O72" s="58">
        <f t="shared" si="29"/>
        <v>2.1818119344497796E-4</v>
      </c>
      <c r="P72" s="59">
        <f t="shared" si="30"/>
        <v>7.6894175668466589E-5</v>
      </c>
      <c r="Q72" s="59">
        <f t="shared" si="31"/>
        <v>2.2629568929571475E-4</v>
      </c>
      <c r="R72" s="59">
        <f t="shared" si="32"/>
        <v>2.40955714568786E-4</v>
      </c>
      <c r="S72" s="59">
        <f t="shared" si="33"/>
        <v>2.7625108917566813E-4</v>
      </c>
      <c r="T72" s="59">
        <f t="shared" si="34"/>
        <v>2.6298249836717168E-4</v>
      </c>
      <c r="U72" s="59">
        <f t="shared" si="35"/>
        <v>3.8357303303482575E-4</v>
      </c>
      <c r="V72" s="59">
        <f t="shared" si="36"/>
        <v>3.2310193713375076E-4</v>
      </c>
      <c r="W72" s="59">
        <f t="shared" si="37"/>
        <v>2.2993033689053683E-4</v>
      </c>
      <c r="X72" s="59">
        <f t="shared" si="38"/>
        <v>2.6955189432425591E-4</v>
      </c>
      <c r="Y72" s="60">
        <f t="shared" si="39"/>
        <v>2.125157392734371E-4</v>
      </c>
      <c r="Z72" s="60">
        <f t="shared" si="40"/>
        <v>2.4729393647069016E-4</v>
      </c>
      <c r="AB72" s="68"/>
      <c r="AC72" s="59">
        <f t="shared" si="41"/>
        <v>-0.44862116389830164</v>
      </c>
      <c r="AD72" s="59">
        <f t="shared" si="41"/>
        <v>4.296646043633995</v>
      </c>
      <c r="AE72" s="59">
        <f t="shared" si="41"/>
        <v>-6.976556416246571E-2</v>
      </c>
      <c r="AF72" s="59">
        <f t="shared" si="41"/>
        <v>0.44062398251030221</v>
      </c>
      <c r="AG72" s="59">
        <f t="shared" si="28"/>
        <v>0.12831057015298408</v>
      </c>
      <c r="AH72" s="59">
        <f t="shared" si="26"/>
        <v>0.55066438113700755</v>
      </c>
      <c r="AI72" s="59">
        <f t="shared" si="26"/>
        <v>0.13427851706988969</v>
      </c>
      <c r="AJ72" s="59">
        <f t="shared" si="26"/>
        <v>-0.19172476965818741</v>
      </c>
      <c r="AK72" s="59">
        <f t="shared" si="26"/>
        <v>0.4201651496489951</v>
      </c>
      <c r="AL72" s="60">
        <f t="shared" si="27"/>
        <v>-0.22083614535244567</v>
      </c>
      <c r="AM72" s="65">
        <f t="shared" si="42"/>
        <v>0.50397410010817734</v>
      </c>
      <c r="AO72" s="68"/>
      <c r="AP72" s="59">
        <f t="shared" si="43"/>
        <v>-0.49298497829728882</v>
      </c>
      <c r="AQ72" s="59">
        <f t="shared" si="44"/>
        <v>3.9202471376070553</v>
      </c>
      <c r="AR72" s="59">
        <f t="shared" si="45"/>
        <v>-0.13054076470928666</v>
      </c>
      <c r="AS72" s="59">
        <f t="shared" si="46"/>
        <v>0.35282560100507299</v>
      </c>
      <c r="AT72" s="59">
        <f t="shared" si="47"/>
        <v>6.9513806385555599E-2</v>
      </c>
      <c r="AU72" s="59">
        <f t="shared" si="48"/>
        <v>0.47889962203171477</v>
      </c>
      <c r="AV72" s="59">
        <f t="shared" si="49"/>
        <v>8.5641765955101201E-2</v>
      </c>
      <c r="AW72" s="59">
        <f t="shared" si="50"/>
        <v>-0.23523963445755258</v>
      </c>
      <c r="AX72" s="59">
        <f t="shared" si="51"/>
        <v>0.31899800283179625</v>
      </c>
      <c r="AY72" s="59">
        <f t="shared" si="52"/>
        <v>-0.23611386799259382</v>
      </c>
      <c r="AZ72" s="65">
        <f t="shared" si="53"/>
        <v>0.41312466903595757</v>
      </c>
    </row>
    <row r="73" spans="1:52" ht="38.25">
      <c r="A73" s="515" t="s">
        <v>130</v>
      </c>
      <c r="B73" s="495">
        <v>63796</v>
      </c>
      <c r="C73" s="496"/>
      <c r="D73" s="496">
        <v>531382</v>
      </c>
      <c r="E73" s="496">
        <v>660907</v>
      </c>
      <c r="F73" s="496">
        <v>702054</v>
      </c>
      <c r="G73" s="496">
        <v>1997194</v>
      </c>
      <c r="H73" s="496">
        <v>2998371</v>
      </c>
      <c r="I73" s="496">
        <v>3168185</v>
      </c>
      <c r="J73" s="496">
        <v>1805033</v>
      </c>
      <c r="K73" s="496">
        <v>2908600.69</v>
      </c>
      <c r="L73" s="497">
        <v>4418219.6900000004</v>
      </c>
      <c r="M73" s="463"/>
      <c r="O73" s="58">
        <f t="shared" si="29"/>
        <v>1.6660567067387333E-5</v>
      </c>
      <c r="P73" s="59">
        <f t="shared" si="30"/>
        <v>0</v>
      </c>
      <c r="Q73" s="59">
        <f t="shared" si="31"/>
        <v>4.9284583781849872E-5</v>
      </c>
      <c r="R73" s="59">
        <f t="shared" si="32"/>
        <v>7.0163806621338366E-5</v>
      </c>
      <c r="S73" s="59">
        <f t="shared" si="33"/>
        <v>5.9314303816169198E-5</v>
      </c>
      <c r="T73" s="59">
        <f t="shared" si="34"/>
        <v>1.4236504284661339E-4</v>
      </c>
      <c r="U73" s="59">
        <f t="shared" si="35"/>
        <v>2.0103509883625311E-4</v>
      </c>
      <c r="V73" s="59">
        <f t="shared" si="36"/>
        <v>1.5774980855417589E-4</v>
      </c>
      <c r="W73" s="59">
        <f t="shared" si="37"/>
        <v>7.9129951112603072E-5</v>
      </c>
      <c r="X73" s="59">
        <f t="shared" si="38"/>
        <v>1.0525606155268802E-4</v>
      </c>
      <c r="Y73" s="60">
        <f t="shared" si="39"/>
        <v>1.6178201269298213E-4</v>
      </c>
      <c r="Z73" s="60">
        <f t="shared" si="40"/>
        <v>9.4794657898369125E-5</v>
      </c>
      <c r="AB73" s="68"/>
      <c r="AC73" s="59">
        <f t="shared" si="41"/>
        <v>-1</v>
      </c>
      <c r="AD73" s="59" t="str">
        <f t="shared" si="41"/>
        <v/>
      </c>
      <c r="AE73" s="59">
        <f t="shared" si="41"/>
        <v>0.24375119970190928</v>
      </c>
      <c r="AF73" s="59">
        <f t="shared" si="41"/>
        <v>6.225838128511274E-2</v>
      </c>
      <c r="AG73" s="59">
        <f t="shared" si="28"/>
        <v>1.8447868682466022</v>
      </c>
      <c r="AH73" s="59">
        <f t="shared" si="26"/>
        <v>0.50129181241281517</v>
      </c>
      <c r="AI73" s="59">
        <f t="shared" si="26"/>
        <v>5.6635419699563538E-2</v>
      </c>
      <c r="AJ73" s="59">
        <f t="shared" si="26"/>
        <v>-0.43026275296423666</v>
      </c>
      <c r="AK73" s="59">
        <f t="shared" si="26"/>
        <v>0.61138366445378001</v>
      </c>
      <c r="AL73" s="60">
        <f t="shared" si="27"/>
        <v>0.51901899260018425</v>
      </c>
      <c r="AM73" s="65">
        <f t="shared" si="42"/>
        <v>0.26765150949285893</v>
      </c>
      <c r="AO73" s="68"/>
      <c r="AP73" s="59">
        <f t="shared" si="43"/>
        <v>-1</v>
      </c>
      <c r="AQ73" s="59">
        <f t="shared" si="44"/>
        <v>0</v>
      </c>
      <c r="AR73" s="59">
        <f t="shared" si="45"/>
        <v>0.16249294298711026</v>
      </c>
      <c r="AS73" s="59">
        <f t="shared" si="46"/>
        <v>-2.4806260821553794E-3</v>
      </c>
      <c r="AT73" s="59">
        <f t="shared" si="47"/>
        <v>1.6965437640113037</v>
      </c>
      <c r="AU73" s="59">
        <f t="shared" si="48"/>
        <v>0.43181201615570686</v>
      </c>
      <c r="AV73" s="59">
        <f t="shared" si="49"/>
        <v>1.1327928502645079E-2</v>
      </c>
      <c r="AW73" s="59">
        <f t="shared" si="50"/>
        <v>-0.46093552177522623</v>
      </c>
      <c r="AX73" s="59">
        <f t="shared" si="51"/>
        <v>0.49659484020969624</v>
      </c>
      <c r="AY73" s="59">
        <f t="shared" si="52"/>
        <v>0.48923430647076893</v>
      </c>
      <c r="AZ73" s="65">
        <f t="shared" si="53"/>
        <v>0.18245896504798492</v>
      </c>
    </row>
    <row r="74" spans="1:52" ht="25.5">
      <c r="A74" s="515" t="s">
        <v>131</v>
      </c>
      <c r="B74" s="495">
        <v>3804961</v>
      </c>
      <c r="C74" s="496">
        <v>11049094</v>
      </c>
      <c r="D74" s="496">
        <v>18304464</v>
      </c>
      <c r="E74" s="496">
        <v>16973216</v>
      </c>
      <c r="F74" s="496">
        <v>82260538</v>
      </c>
      <c r="G74" s="496">
        <v>72097309</v>
      </c>
      <c r="H74" s="496">
        <v>75066730</v>
      </c>
      <c r="I74" s="496">
        <v>65825767</v>
      </c>
      <c r="J74" s="496">
        <v>73635176</v>
      </c>
      <c r="K74" s="496">
        <v>105254451</v>
      </c>
      <c r="L74" s="497">
        <v>98542966</v>
      </c>
      <c r="M74" s="463"/>
      <c r="O74" s="58">
        <f t="shared" si="29"/>
        <v>9.936799788277191E-4</v>
      </c>
      <c r="P74" s="59">
        <f t="shared" si="30"/>
        <v>1.8443741995297952E-3</v>
      </c>
      <c r="Q74" s="59">
        <f t="shared" si="31"/>
        <v>1.6977012574566975E-3</v>
      </c>
      <c r="R74" s="59">
        <f t="shared" si="32"/>
        <v>1.801925906619549E-3</v>
      </c>
      <c r="S74" s="59">
        <f t="shared" si="33"/>
        <v>6.9499305509455565E-3</v>
      </c>
      <c r="T74" s="59">
        <f t="shared" si="34"/>
        <v>5.1392786504017764E-3</v>
      </c>
      <c r="U74" s="59">
        <f t="shared" si="35"/>
        <v>5.0330821252154339E-3</v>
      </c>
      <c r="V74" s="59">
        <f t="shared" si="36"/>
        <v>3.2775870544749716E-3</v>
      </c>
      <c r="W74" s="59">
        <f t="shared" si="37"/>
        <v>3.2280561502465179E-3</v>
      </c>
      <c r="X74" s="59">
        <f t="shared" si="38"/>
        <v>3.8089343137542838E-3</v>
      </c>
      <c r="Y74" s="60">
        <f t="shared" si="39"/>
        <v>3.6083491756418533E-3</v>
      </c>
      <c r="Z74" s="60">
        <f t="shared" si="40"/>
        <v>3.3984453966467406E-3</v>
      </c>
      <c r="AB74" s="68"/>
      <c r="AC74" s="59">
        <f t="shared" si="41"/>
        <v>1.9038652432968433</v>
      </c>
      <c r="AD74" s="59">
        <f t="shared" si="41"/>
        <v>0.65664840936279489</v>
      </c>
      <c r="AE74" s="59">
        <f t="shared" si="41"/>
        <v>-7.2728051474219568E-2</v>
      </c>
      <c r="AF74" s="59">
        <f t="shared" si="41"/>
        <v>3.8464909655306334</v>
      </c>
      <c r="AG74" s="59">
        <f t="shared" si="28"/>
        <v>-0.12354926489782991</v>
      </c>
      <c r="AH74" s="59">
        <f t="shared" si="26"/>
        <v>4.1186294484305996E-2</v>
      </c>
      <c r="AI74" s="59">
        <f t="shared" si="26"/>
        <v>-0.12310331088086557</v>
      </c>
      <c r="AJ74" s="59">
        <f t="shared" si="26"/>
        <v>0.11863756938829129</v>
      </c>
      <c r="AK74" s="59">
        <f t="shared" si="26"/>
        <v>0.42940448733360803</v>
      </c>
      <c r="AL74" s="60">
        <f t="shared" si="27"/>
        <v>-6.3764381802723036E-2</v>
      </c>
      <c r="AM74" s="65">
        <f t="shared" si="42"/>
        <v>0.66130879603408388</v>
      </c>
      <c r="AO74" s="68"/>
      <c r="AP74" s="59">
        <f t="shared" si="43"/>
        <v>1.6702209133764079</v>
      </c>
      <c r="AQ74" s="59">
        <f t="shared" si="44"/>
        <v>0.53892095621253588</v>
      </c>
      <c r="AR74" s="59">
        <f t="shared" si="45"/>
        <v>-0.13330970321919766</v>
      </c>
      <c r="AS74" s="59">
        <f t="shared" si="46"/>
        <v>3.5511230777825462</v>
      </c>
      <c r="AT74" s="59">
        <f t="shared" si="47"/>
        <v>-0.16922150106114464</v>
      </c>
      <c r="AU74" s="59">
        <f t="shared" si="48"/>
        <v>-6.9998149771177687E-3</v>
      </c>
      <c r="AV74" s="59">
        <f t="shared" si="49"/>
        <v>-0.1607037814709662</v>
      </c>
      <c r="AW74" s="59">
        <f t="shared" si="50"/>
        <v>5.8413822867150467E-2</v>
      </c>
      <c r="AX74" s="59">
        <f t="shared" si="51"/>
        <v>0.32757916535117304</v>
      </c>
      <c r="AY74" s="59">
        <f t="shared" si="52"/>
        <v>-8.2121942943846116E-2</v>
      </c>
      <c r="AZ74" s="65">
        <f t="shared" si="53"/>
        <v>0.55939011919175408</v>
      </c>
    </row>
    <row r="75" spans="1:52" ht="38.25">
      <c r="A75" s="515" t="s">
        <v>132</v>
      </c>
      <c r="B75" s="495">
        <v>740645</v>
      </c>
      <c r="C75" s="496">
        <v>665404</v>
      </c>
      <c r="D75" s="496">
        <v>265926</v>
      </c>
      <c r="E75" s="496">
        <v>328145</v>
      </c>
      <c r="F75" s="496">
        <v>655474</v>
      </c>
      <c r="G75" s="496">
        <v>838445</v>
      </c>
      <c r="H75" s="496">
        <v>1125452</v>
      </c>
      <c r="I75" s="496">
        <v>1042804</v>
      </c>
      <c r="J75" s="496">
        <v>476013</v>
      </c>
      <c r="K75" s="496">
        <v>1387018</v>
      </c>
      <c r="L75" s="497">
        <v>2598675</v>
      </c>
      <c r="M75" s="463"/>
      <c r="O75" s="58">
        <f t="shared" si="29"/>
        <v>1.9342224740775426E-4</v>
      </c>
      <c r="P75" s="59">
        <f t="shared" si="30"/>
        <v>1.110728146456102E-4</v>
      </c>
      <c r="Q75" s="59">
        <f t="shared" si="31"/>
        <v>2.4664087655908949E-5</v>
      </c>
      <c r="R75" s="59">
        <f t="shared" si="32"/>
        <v>3.4836826245990853E-5</v>
      </c>
      <c r="S75" s="59">
        <f t="shared" si="33"/>
        <v>5.5378908146096583E-5</v>
      </c>
      <c r="T75" s="59">
        <f t="shared" si="34"/>
        <v>5.9766481548376759E-5</v>
      </c>
      <c r="U75" s="59">
        <f t="shared" si="35"/>
        <v>7.5459425820039857E-5</v>
      </c>
      <c r="V75" s="59">
        <f t="shared" si="36"/>
        <v>5.1923145699991898E-5</v>
      </c>
      <c r="W75" s="59">
        <f t="shared" si="37"/>
        <v>2.0867699049803258E-5</v>
      </c>
      <c r="X75" s="59">
        <f t="shared" si="38"/>
        <v>5.0193226070742027E-5</v>
      </c>
      <c r="Y75" s="60">
        <f t="shared" si="39"/>
        <v>9.5155719120643207E-5</v>
      </c>
      <c r="Z75" s="60">
        <f t="shared" si="40"/>
        <v>7.0249143764632534E-5</v>
      </c>
      <c r="AB75" s="68"/>
      <c r="AC75" s="59">
        <f t="shared" si="41"/>
        <v>-0.10158848031108025</v>
      </c>
      <c r="AD75" s="59">
        <f t="shared" si="41"/>
        <v>-0.60035407060973478</v>
      </c>
      <c r="AE75" s="59">
        <f t="shared" si="41"/>
        <v>0.23397110474342497</v>
      </c>
      <c r="AF75" s="59">
        <f t="shared" si="41"/>
        <v>0.99751329442776826</v>
      </c>
      <c r="AG75" s="59">
        <f t="shared" si="28"/>
        <v>0.27914303237046778</v>
      </c>
      <c r="AH75" s="59">
        <f t="shared" si="26"/>
        <v>0.34230867856567815</v>
      </c>
      <c r="AI75" s="59">
        <f t="shared" si="26"/>
        <v>-7.3435384183421437E-2</v>
      </c>
      <c r="AJ75" s="59">
        <f t="shared" si="26"/>
        <v>-0.54352591666315053</v>
      </c>
      <c r="AK75" s="59">
        <f t="shared" si="26"/>
        <v>1.9138237821235973</v>
      </c>
      <c r="AL75" s="60">
        <f t="shared" si="27"/>
        <v>0.87356977342759801</v>
      </c>
      <c r="AM75" s="65">
        <f t="shared" si="42"/>
        <v>0.33214258138911479</v>
      </c>
      <c r="AO75" s="68"/>
      <c r="AP75" s="59">
        <f t="shared" si="43"/>
        <v>-0.1738744646538668</v>
      </c>
      <c r="AQ75" s="59">
        <f t="shared" si="44"/>
        <v>-0.62875436192265188</v>
      </c>
      <c r="AR75" s="59">
        <f t="shared" si="45"/>
        <v>0.15335181301376277</v>
      </c>
      <c r="AS75" s="59">
        <f t="shared" si="46"/>
        <v>0.87577546664265982</v>
      </c>
      <c r="AT75" s="59">
        <f t="shared" si="47"/>
        <v>0.21248632216270913</v>
      </c>
      <c r="AU75" s="59">
        <f t="shared" si="48"/>
        <v>0.28018662292680641</v>
      </c>
      <c r="AV75" s="59">
        <f t="shared" si="49"/>
        <v>-0.11316556679117673</v>
      </c>
      <c r="AW75" s="59">
        <f t="shared" si="50"/>
        <v>-0.56810097139100246</v>
      </c>
      <c r="AX75" s="59">
        <f t="shared" si="51"/>
        <v>1.706254093176927</v>
      </c>
      <c r="AY75" s="59">
        <f t="shared" si="52"/>
        <v>0.83683311120352744</v>
      </c>
      <c r="AZ75" s="65">
        <f t="shared" si="53"/>
        <v>0.25809920643676942</v>
      </c>
    </row>
    <row r="76" spans="1:52" ht="38.25">
      <c r="A76" s="515" t="s">
        <v>133</v>
      </c>
      <c r="B76" s="495">
        <v>226762</v>
      </c>
      <c r="C76" s="496">
        <v>275131</v>
      </c>
      <c r="D76" s="496">
        <v>258622</v>
      </c>
      <c r="E76" s="496">
        <v>126020</v>
      </c>
      <c r="F76" s="496">
        <v>1101660</v>
      </c>
      <c r="G76" s="496">
        <v>1722770</v>
      </c>
      <c r="H76" s="496">
        <v>1920832</v>
      </c>
      <c r="I76" s="496">
        <v>1998963</v>
      </c>
      <c r="J76" s="496">
        <v>873781</v>
      </c>
      <c r="K76" s="496">
        <v>1481358</v>
      </c>
      <c r="L76" s="497">
        <v>23931974</v>
      </c>
      <c r="M76" s="463"/>
      <c r="O76" s="58">
        <f t="shared" si="29"/>
        <v>5.9219755303387146E-5</v>
      </c>
      <c r="P76" s="59">
        <f t="shared" si="30"/>
        <v>4.5926346349377794E-5</v>
      </c>
      <c r="Q76" s="59">
        <f t="shared" si="31"/>
        <v>2.3986656730618607E-5</v>
      </c>
      <c r="R76" s="59">
        <f t="shared" si="32"/>
        <v>1.3378649205442007E-5</v>
      </c>
      <c r="S76" s="59">
        <f t="shared" si="33"/>
        <v>9.3075740530103044E-5</v>
      </c>
      <c r="T76" s="59">
        <f t="shared" si="34"/>
        <v>1.2280340561050162E-4</v>
      </c>
      <c r="U76" s="59">
        <f t="shared" si="35"/>
        <v>1.2878814895416136E-4</v>
      </c>
      <c r="V76" s="59">
        <f t="shared" si="36"/>
        <v>9.9532076111995065E-5</v>
      </c>
      <c r="W76" s="59">
        <f t="shared" si="37"/>
        <v>3.8305254149437389E-5</v>
      </c>
      <c r="X76" s="59">
        <f t="shared" si="38"/>
        <v>5.3607189658463166E-5</v>
      </c>
      <c r="Y76" s="60">
        <f t="shared" si="39"/>
        <v>8.7631742943867011E-4</v>
      </c>
      <c r="Z76" s="60">
        <f t="shared" si="40"/>
        <v>1.4135824109474157E-4</v>
      </c>
      <c r="AB76" s="68"/>
      <c r="AC76" s="59">
        <f t="shared" si="41"/>
        <v>0.21330293435408043</v>
      </c>
      <c r="AD76" s="59">
        <f t="shared" si="41"/>
        <v>-6.0004143480741901E-2</v>
      </c>
      <c r="AE76" s="59">
        <f t="shared" si="41"/>
        <v>-0.51272513552597998</v>
      </c>
      <c r="AF76" s="59">
        <f t="shared" si="41"/>
        <v>7.7419457229011268</v>
      </c>
      <c r="AG76" s="59">
        <f t="shared" si="28"/>
        <v>0.56379463718388623</v>
      </c>
      <c r="AH76" s="59">
        <f t="shared" si="26"/>
        <v>0.11496717495661057</v>
      </c>
      <c r="AI76" s="59">
        <f t="shared" si="26"/>
        <v>4.0675603072002131E-2</v>
      </c>
      <c r="AJ76" s="59">
        <f t="shared" si="26"/>
        <v>-0.56288285476019317</v>
      </c>
      <c r="AK76" s="59">
        <f t="shared" si="26"/>
        <v>0.69534242561923421</v>
      </c>
      <c r="AL76" s="60">
        <f t="shared" si="27"/>
        <v>15.155429005007566</v>
      </c>
      <c r="AM76" s="65">
        <f t="shared" si="42"/>
        <v>2.3389845369327587</v>
      </c>
      <c r="AO76" s="68"/>
      <c r="AP76" s="59">
        <f t="shared" si="43"/>
        <v>0.115680859176166</v>
      </c>
      <c r="AQ76" s="59">
        <f t="shared" si="44"/>
        <v>-0.12680366324267711</v>
      </c>
      <c r="AR76" s="59">
        <f t="shared" si="45"/>
        <v>-0.54456036594633139</v>
      </c>
      <c r="AS76" s="59">
        <f t="shared" si="46"/>
        <v>7.2091705539497859</v>
      </c>
      <c r="AT76" s="59">
        <f t="shared" si="47"/>
        <v>0.482304605719583</v>
      </c>
      <c r="AU76" s="59">
        <f t="shared" si="48"/>
        <v>6.3366485797554883E-2</v>
      </c>
      <c r="AV76" s="59">
        <f t="shared" si="49"/>
        <v>-3.9475468300131933E-3</v>
      </c>
      <c r="AW76" s="59">
        <f t="shared" si="50"/>
        <v>-0.58641579596952709</v>
      </c>
      <c r="AX76" s="59">
        <f t="shared" si="51"/>
        <v>0.5745726995627698</v>
      </c>
      <c r="AY76" s="59">
        <f t="shared" si="52"/>
        <v>14.83865588726232</v>
      </c>
      <c r="AZ76" s="65">
        <f t="shared" si="53"/>
        <v>2.2022023719479629</v>
      </c>
    </row>
    <row r="77" spans="1:52" ht="38.25">
      <c r="A77" s="515" t="s">
        <v>134</v>
      </c>
      <c r="B77" s="495">
        <v>71127106</v>
      </c>
      <c r="C77" s="496">
        <v>106285956</v>
      </c>
      <c r="D77" s="496">
        <v>78423004</v>
      </c>
      <c r="E77" s="496">
        <v>69393118</v>
      </c>
      <c r="F77" s="496">
        <v>127158539</v>
      </c>
      <c r="G77" s="496">
        <v>290699502</v>
      </c>
      <c r="H77" s="496">
        <v>149111164</v>
      </c>
      <c r="I77" s="496">
        <v>133742678</v>
      </c>
      <c r="J77" s="496">
        <v>190976449</v>
      </c>
      <c r="K77" s="496">
        <v>278262144.24000001</v>
      </c>
      <c r="L77" s="497">
        <v>396793513.93000001</v>
      </c>
      <c r="M77" s="463"/>
      <c r="O77" s="58">
        <f t="shared" si="29"/>
        <v>1.8575113170452191E-2</v>
      </c>
      <c r="P77" s="59">
        <f t="shared" si="30"/>
        <v>1.7741823448941516E-2</v>
      </c>
      <c r="Q77" s="59">
        <f t="shared" si="31"/>
        <v>7.2735717639331923E-3</v>
      </c>
      <c r="R77" s="59">
        <f t="shared" si="32"/>
        <v>7.366974948372032E-3</v>
      </c>
      <c r="S77" s="59">
        <f t="shared" si="33"/>
        <v>1.0743219488908546E-2</v>
      </c>
      <c r="T77" s="59">
        <f t="shared" si="34"/>
        <v>2.0721796208940733E-2</v>
      </c>
      <c r="U77" s="59">
        <f t="shared" si="35"/>
        <v>9.9976212391090849E-3</v>
      </c>
      <c r="V77" s="59">
        <f t="shared" si="36"/>
        <v>6.6592960480599426E-3</v>
      </c>
      <c r="W77" s="59">
        <f t="shared" si="37"/>
        <v>8.3721223229871883E-3</v>
      </c>
      <c r="X77" s="59">
        <f t="shared" si="38"/>
        <v>1.006971410087522E-2</v>
      </c>
      <c r="Y77" s="60">
        <f t="shared" si="39"/>
        <v>1.4529393695023851E-2</v>
      </c>
      <c r="Z77" s="60">
        <f t="shared" si="40"/>
        <v>1.2004604221418498E-2</v>
      </c>
      <c r="AB77" s="68"/>
      <c r="AC77" s="59">
        <f t="shared" si="41"/>
        <v>0.49431014387117056</v>
      </c>
      <c r="AD77" s="59">
        <f t="shared" si="41"/>
        <v>-0.26215083392579164</v>
      </c>
      <c r="AE77" s="59">
        <f t="shared" si="41"/>
        <v>-0.11514333217840012</v>
      </c>
      <c r="AF77" s="59">
        <f t="shared" si="41"/>
        <v>0.83243731748730476</v>
      </c>
      <c r="AG77" s="59">
        <f t="shared" si="28"/>
        <v>1.2861186066316788</v>
      </c>
      <c r="AH77" s="59">
        <f t="shared" si="26"/>
        <v>-0.48706082062706801</v>
      </c>
      <c r="AI77" s="59">
        <f t="shared" si="26"/>
        <v>-0.10306730621457694</v>
      </c>
      <c r="AJ77" s="59">
        <f t="shared" si="26"/>
        <v>0.42793947194626991</v>
      </c>
      <c r="AK77" s="59">
        <f t="shared" si="26"/>
        <v>0.45704952467725479</v>
      </c>
      <c r="AL77" s="60">
        <f t="shared" si="27"/>
        <v>0.42597015851271225</v>
      </c>
      <c r="AM77" s="65">
        <f t="shared" si="42"/>
        <v>0.29564029301805539</v>
      </c>
      <c r="AO77" s="68"/>
      <c r="AP77" s="59">
        <f t="shared" si="43"/>
        <v>0.37407829321486963</v>
      </c>
      <c r="AQ77" s="59">
        <f t="shared" si="44"/>
        <v>-0.3145850756393791</v>
      </c>
      <c r="AR77" s="59">
        <f t="shared" si="45"/>
        <v>-0.17295385753659231</v>
      </c>
      <c r="AS77" s="59">
        <f t="shared" si="46"/>
        <v>0.72075999388421907</v>
      </c>
      <c r="AT77" s="59">
        <f t="shared" si="47"/>
        <v>1.1669879530562004</v>
      </c>
      <c r="AU77" s="59">
        <f t="shared" si="48"/>
        <v>-0.51079964966780078</v>
      </c>
      <c r="AV77" s="59">
        <f t="shared" si="49"/>
        <v>-0.14152690104764254</v>
      </c>
      <c r="AW77" s="59">
        <f t="shared" si="50"/>
        <v>0.3510639340961963</v>
      </c>
      <c r="AX77" s="59">
        <f t="shared" si="51"/>
        <v>0.35325487571027669</v>
      </c>
      <c r="AY77" s="59">
        <f t="shared" si="52"/>
        <v>0.39800995932618854</v>
      </c>
      <c r="AZ77" s="65">
        <f t="shared" si="53"/>
        <v>0.22242895253965358</v>
      </c>
    </row>
    <row r="78" spans="1:52" ht="51">
      <c r="A78" s="515" t="s">
        <v>23</v>
      </c>
      <c r="B78" s="495">
        <v>897351943</v>
      </c>
      <c r="C78" s="496">
        <v>1529803609</v>
      </c>
      <c r="D78" s="496">
        <v>2350395879</v>
      </c>
      <c r="E78" s="496">
        <v>2644501789</v>
      </c>
      <c r="F78" s="496">
        <v>3095610834</v>
      </c>
      <c r="G78" s="496">
        <v>3621800053</v>
      </c>
      <c r="H78" s="496">
        <v>4289239893</v>
      </c>
      <c r="I78" s="496">
        <v>5398923582</v>
      </c>
      <c r="J78" s="496">
        <v>5599843369</v>
      </c>
      <c r="K78" s="496">
        <v>6850944015.4499998</v>
      </c>
      <c r="L78" s="497">
        <v>6515846460.2799997</v>
      </c>
      <c r="M78" s="463"/>
      <c r="O78" s="58">
        <f t="shared" si="29"/>
        <v>0.23434685919809761</v>
      </c>
      <c r="P78" s="59">
        <f t="shared" si="30"/>
        <v>0.25536304667035747</v>
      </c>
      <c r="Q78" s="59">
        <f t="shared" si="31"/>
        <v>0.21799436680032475</v>
      </c>
      <c r="R78" s="59">
        <f t="shared" si="32"/>
        <v>0.28074799046337739</v>
      </c>
      <c r="S78" s="59">
        <f t="shared" si="33"/>
        <v>0.26153828837169352</v>
      </c>
      <c r="T78" s="59">
        <f t="shared" si="34"/>
        <v>0.25817107388025984</v>
      </c>
      <c r="U78" s="59">
        <f t="shared" si="35"/>
        <v>0.28758541415377037</v>
      </c>
      <c r="V78" s="59">
        <f t="shared" si="36"/>
        <v>0.26882242086845481</v>
      </c>
      <c r="W78" s="59">
        <f t="shared" si="37"/>
        <v>0.24548877058048493</v>
      </c>
      <c r="X78" s="59">
        <f t="shared" si="38"/>
        <v>0.24792106646451523</v>
      </c>
      <c r="Y78" s="60">
        <f t="shared" si="39"/>
        <v>0.238590841720354</v>
      </c>
      <c r="Z78" s="60">
        <f t="shared" si="40"/>
        <v>0.25423364901560819</v>
      </c>
      <c r="AB78" s="68"/>
      <c r="AC78" s="59">
        <f t="shared" si="41"/>
        <v>0.70479778968952433</v>
      </c>
      <c r="AD78" s="59">
        <f t="shared" si="41"/>
        <v>0.53640366983864274</v>
      </c>
      <c r="AE78" s="59">
        <f t="shared" si="41"/>
        <v>0.12513037170790575</v>
      </c>
      <c r="AF78" s="59">
        <f t="shared" si="41"/>
        <v>0.17058375489720645</v>
      </c>
      <c r="AG78" s="59">
        <f t="shared" si="28"/>
        <v>0.1699791243849873</v>
      </c>
      <c r="AH78" s="59">
        <f t="shared" si="26"/>
        <v>0.18428401077722323</v>
      </c>
      <c r="AI78" s="59">
        <f t="shared" si="26"/>
        <v>0.25871336569703018</v>
      </c>
      <c r="AJ78" s="59">
        <f t="shared" si="26"/>
        <v>3.7214786234401664E-2</v>
      </c>
      <c r="AK78" s="59">
        <f t="shared" si="26"/>
        <v>0.22341707865900839</v>
      </c>
      <c r="AL78" s="60">
        <f t="shared" si="27"/>
        <v>-4.8912610351843466E-2</v>
      </c>
      <c r="AM78" s="65">
        <f t="shared" si="42"/>
        <v>0.23616113415340872</v>
      </c>
      <c r="AO78" s="68"/>
      <c r="AP78" s="59">
        <f t="shared" si="43"/>
        <v>0.56763015143864326</v>
      </c>
      <c r="AQ78" s="59">
        <f t="shared" si="44"/>
        <v>0.42722124462484223</v>
      </c>
      <c r="AR78" s="59">
        <f t="shared" si="45"/>
        <v>5.1621994305921737E-2</v>
      </c>
      <c r="AS78" s="59">
        <f t="shared" si="46"/>
        <v>9.9242891254771815E-2</v>
      </c>
      <c r="AT78" s="59">
        <f t="shared" si="47"/>
        <v>0.1090109937931063</v>
      </c>
      <c r="AU78" s="59">
        <f t="shared" si="48"/>
        <v>0.12947533794025534</v>
      </c>
      <c r="AV78" s="59">
        <f t="shared" si="49"/>
        <v>0.20474097023069504</v>
      </c>
      <c r="AW78" s="59">
        <f t="shared" si="50"/>
        <v>-1.8625426970951153E-2</v>
      </c>
      <c r="AX78" s="59">
        <f t="shared" si="51"/>
        <v>0.13626551375407114</v>
      </c>
      <c r="AY78" s="59">
        <f t="shared" si="52"/>
        <v>-6.7561382697885808E-2</v>
      </c>
      <c r="AZ78" s="65">
        <f t="shared" si="53"/>
        <v>0.163902228767347</v>
      </c>
    </row>
    <row r="79" spans="1:52" ht="25.5">
      <c r="A79" s="515" t="s">
        <v>135</v>
      </c>
      <c r="B79" s="495">
        <v>17313971</v>
      </c>
      <c r="C79" s="496">
        <v>36237759</v>
      </c>
      <c r="D79" s="496">
        <v>80301710</v>
      </c>
      <c r="E79" s="496">
        <v>81411569</v>
      </c>
      <c r="F79" s="496">
        <v>111408752</v>
      </c>
      <c r="G79" s="496">
        <v>113076636</v>
      </c>
      <c r="H79" s="496">
        <v>140992003</v>
      </c>
      <c r="I79" s="496">
        <v>138531421</v>
      </c>
      <c r="J79" s="496">
        <v>845794042</v>
      </c>
      <c r="K79" s="496">
        <v>889154692</v>
      </c>
      <c r="L79" s="497">
        <v>1248957924.6800001</v>
      </c>
      <c r="M79" s="463"/>
      <c r="O79" s="58">
        <f t="shared" si="29"/>
        <v>4.5216091141811292E-3</v>
      </c>
      <c r="P79" s="59">
        <f t="shared" si="30"/>
        <v>6.0490016419788468E-3</v>
      </c>
      <c r="Q79" s="59">
        <f t="shared" si="31"/>
        <v>7.4478178679759791E-3</v>
      </c>
      <c r="R79" s="59">
        <f t="shared" si="32"/>
        <v>8.6428886122491451E-3</v>
      </c>
      <c r="S79" s="59">
        <f t="shared" si="33"/>
        <v>9.4125702067194943E-3</v>
      </c>
      <c r="T79" s="59">
        <f t="shared" si="34"/>
        <v>8.0603887900178479E-3</v>
      </c>
      <c r="U79" s="59">
        <f t="shared" si="35"/>
        <v>9.4532468657902227E-3</v>
      </c>
      <c r="V79" s="59">
        <f t="shared" si="36"/>
        <v>6.8977364457845549E-3</v>
      </c>
      <c r="W79" s="59">
        <f t="shared" si="37"/>
        <v>3.7078347705992602E-2</v>
      </c>
      <c r="X79" s="59">
        <f t="shared" si="38"/>
        <v>3.2176613762342661E-2</v>
      </c>
      <c r="Y79" s="60">
        <f t="shared" si="39"/>
        <v>4.5733109940393292E-2</v>
      </c>
      <c r="Z79" s="60">
        <f t="shared" si="40"/>
        <v>1.595212099576598E-2</v>
      </c>
      <c r="AB79" s="68"/>
      <c r="AC79" s="59">
        <f t="shared" si="41"/>
        <v>1.0929779193923799</v>
      </c>
      <c r="AD79" s="59">
        <f t="shared" si="41"/>
        <v>1.215967880353749</v>
      </c>
      <c r="AE79" s="59">
        <f t="shared" si="41"/>
        <v>1.3821112900335608E-2</v>
      </c>
      <c r="AF79" s="59">
        <f t="shared" si="41"/>
        <v>0.36846339369776793</v>
      </c>
      <c r="AG79" s="59">
        <f t="shared" si="28"/>
        <v>1.4970852559231584E-2</v>
      </c>
      <c r="AH79" s="59">
        <f t="shared" si="26"/>
        <v>0.24687121926761235</v>
      </c>
      <c r="AI79" s="59">
        <f t="shared" si="26"/>
        <v>-1.745192597909262E-2</v>
      </c>
      <c r="AJ79" s="59">
        <f t="shared" si="26"/>
        <v>5.1054310703995451</v>
      </c>
      <c r="AK79" s="59">
        <f t="shared" si="26"/>
        <v>5.1266204119229331E-2</v>
      </c>
      <c r="AL79" s="60">
        <f t="shared" si="27"/>
        <v>0.40465763260011012</v>
      </c>
      <c r="AM79" s="65">
        <f t="shared" si="42"/>
        <v>0.84969753593108677</v>
      </c>
      <c r="AO79" s="68"/>
      <c r="AP79" s="59">
        <f t="shared" si="43"/>
        <v>0.92457739714241849</v>
      </c>
      <c r="AQ79" s="59">
        <f t="shared" si="44"/>
        <v>1.058493154067579</v>
      </c>
      <c r="AR79" s="59">
        <f t="shared" si="45"/>
        <v>-5.2415073464496142E-2</v>
      </c>
      <c r="AS79" s="59">
        <f t="shared" si="46"/>
        <v>0.28506281688211854</v>
      </c>
      <c r="AT79" s="59">
        <f t="shared" si="47"/>
        <v>-3.7919728303322242E-2</v>
      </c>
      <c r="AU79" s="59">
        <f t="shared" si="48"/>
        <v>0.189166009955684</v>
      </c>
      <c r="AV79" s="59">
        <f t="shared" si="49"/>
        <v>-5.9582624405716489E-2</v>
      </c>
      <c r="AW79" s="59">
        <f t="shared" si="50"/>
        <v>4.7767348570342945</v>
      </c>
      <c r="AX79" s="59">
        <f t="shared" si="51"/>
        <v>-2.3621989301356616E-2</v>
      </c>
      <c r="AY79" s="59">
        <f t="shared" si="52"/>
        <v>0.37711532607853937</v>
      </c>
      <c r="AZ79" s="65">
        <f t="shared" si="53"/>
        <v>0.74376101456857424</v>
      </c>
    </row>
    <row r="80" spans="1:52">
      <c r="A80" s="515" t="s">
        <v>136</v>
      </c>
      <c r="B80" s="495">
        <v>3716270</v>
      </c>
      <c r="C80" s="496">
        <v>5678785</v>
      </c>
      <c r="D80" s="496">
        <v>18698840</v>
      </c>
      <c r="E80" s="496">
        <v>10182916</v>
      </c>
      <c r="F80" s="496">
        <v>20542361</v>
      </c>
      <c r="G80" s="496">
        <v>32893358</v>
      </c>
      <c r="H80" s="496">
        <v>47432348</v>
      </c>
      <c r="I80" s="496">
        <v>49931768</v>
      </c>
      <c r="J80" s="496">
        <v>78663900</v>
      </c>
      <c r="K80" s="496">
        <v>65503949.740000002</v>
      </c>
      <c r="L80" s="497">
        <v>85518884.060000002</v>
      </c>
      <c r="M80" s="463"/>
      <c r="O80" s="58">
        <f t="shared" si="29"/>
        <v>9.7051798820489569E-4</v>
      </c>
      <c r="P80" s="59">
        <f t="shared" si="30"/>
        <v>9.479333363148877E-4</v>
      </c>
      <c r="Q80" s="59">
        <f t="shared" si="31"/>
        <v>1.7342788175049317E-3</v>
      </c>
      <c r="R80" s="59">
        <f t="shared" si="32"/>
        <v>1.0810479372518863E-3</v>
      </c>
      <c r="S80" s="59">
        <f t="shared" si="33"/>
        <v>1.735558577339386E-3</v>
      </c>
      <c r="T80" s="59">
        <f t="shared" si="34"/>
        <v>2.3447218052122095E-3</v>
      </c>
      <c r="U80" s="59">
        <f t="shared" si="35"/>
        <v>3.1802491313501738E-3</v>
      </c>
      <c r="V80" s="59">
        <f t="shared" si="36"/>
        <v>2.4861953587847698E-3</v>
      </c>
      <c r="W80" s="59">
        <f t="shared" si="37"/>
        <v>3.4485079005905691E-3</v>
      </c>
      <c r="X80" s="59">
        <f t="shared" si="38"/>
        <v>2.3704483704078414E-3</v>
      </c>
      <c r="Y80" s="60">
        <f t="shared" si="39"/>
        <v>3.1314461835836383E-3</v>
      </c>
      <c r="Z80" s="60">
        <f t="shared" si="40"/>
        <v>2.1300823096859264E-3</v>
      </c>
      <c r="AB80" s="68"/>
      <c r="AC80" s="59">
        <f t="shared" si="41"/>
        <v>0.52808730259103887</v>
      </c>
      <c r="AD80" s="59">
        <f t="shared" si="41"/>
        <v>2.2927536436051024</v>
      </c>
      <c r="AE80" s="59">
        <f t="shared" si="41"/>
        <v>-0.4554252563260609</v>
      </c>
      <c r="AF80" s="59">
        <f t="shared" si="41"/>
        <v>1.0173358004720847</v>
      </c>
      <c r="AG80" s="59">
        <f t="shared" si="28"/>
        <v>0.6012452512152815</v>
      </c>
      <c r="AH80" s="59">
        <f t="shared" si="26"/>
        <v>0.44200382338586408</v>
      </c>
      <c r="AI80" s="59">
        <f t="shared" si="26"/>
        <v>5.2694418585392366E-2</v>
      </c>
      <c r="AJ80" s="59">
        <f t="shared" si="26"/>
        <v>0.57542789191842747</v>
      </c>
      <c r="AK80" s="59">
        <f t="shared" si="26"/>
        <v>-0.16729338692843854</v>
      </c>
      <c r="AL80" s="60">
        <f t="shared" si="27"/>
        <v>0.30555309106464268</v>
      </c>
      <c r="AM80" s="65">
        <f t="shared" si="42"/>
        <v>0.51923825795833345</v>
      </c>
      <c r="AO80" s="68"/>
      <c r="AP80" s="59">
        <f t="shared" si="43"/>
        <v>0.40513774950900139</v>
      </c>
      <c r="AQ80" s="59">
        <f t="shared" si="44"/>
        <v>2.0587586099443587</v>
      </c>
      <c r="AR80" s="59">
        <f t="shared" si="45"/>
        <v>-0.49100407171330118</v>
      </c>
      <c r="AS80" s="59">
        <f t="shared" si="46"/>
        <v>0.89438989620817422</v>
      </c>
      <c r="AT80" s="59">
        <f t="shared" si="47"/>
        <v>0.5178036516593576</v>
      </c>
      <c r="AU80" s="59">
        <f t="shared" si="48"/>
        <v>0.3752678757023824</v>
      </c>
      <c r="AV80" s="59">
        <f t="shared" si="49"/>
        <v>7.5559136537064475E-3</v>
      </c>
      <c r="AW80" s="59">
        <f t="shared" si="50"/>
        <v>0.49061206539732005</v>
      </c>
      <c r="AX80" s="59">
        <f t="shared" si="51"/>
        <v>-0.2266122289666932</v>
      </c>
      <c r="AY80" s="59">
        <f t="shared" si="52"/>
        <v>0.27995401084768878</v>
      </c>
      <c r="AZ80" s="65">
        <f t="shared" si="53"/>
        <v>0.43118634722419957</v>
      </c>
    </row>
    <row r="81" spans="1:52">
      <c r="A81" s="515" t="s">
        <v>137</v>
      </c>
      <c r="B81" s="495">
        <v>9392</v>
      </c>
      <c r="C81" s="496">
        <v>72513</v>
      </c>
      <c r="D81" s="496">
        <v>43368</v>
      </c>
      <c r="E81" s="496">
        <v>1180456</v>
      </c>
      <c r="F81" s="496">
        <v>10428</v>
      </c>
      <c r="G81" s="496">
        <v>133557</v>
      </c>
      <c r="H81" s="496">
        <v>630163</v>
      </c>
      <c r="I81" s="496">
        <v>778254</v>
      </c>
      <c r="J81" s="496">
        <v>5863145</v>
      </c>
      <c r="K81" s="496">
        <v>4678464</v>
      </c>
      <c r="L81" s="497">
        <v>4810130</v>
      </c>
      <c r="M81" s="463"/>
      <c r="O81" s="58">
        <f t="shared" si="29"/>
        <v>2.4527563780942667E-6</v>
      </c>
      <c r="P81" s="59">
        <f t="shared" si="30"/>
        <v>1.2104259980999712E-5</v>
      </c>
      <c r="Q81" s="59">
        <f t="shared" si="31"/>
        <v>4.0222924928794445E-6</v>
      </c>
      <c r="R81" s="59">
        <f t="shared" si="32"/>
        <v>1.2532063741040511E-4</v>
      </c>
      <c r="S81" s="59">
        <f t="shared" si="33"/>
        <v>8.8102846817340601E-7</v>
      </c>
      <c r="T81" s="59">
        <f t="shared" si="34"/>
        <v>9.5202809679305794E-6</v>
      </c>
      <c r="U81" s="59">
        <f t="shared" si="35"/>
        <v>4.2251236083843446E-5</v>
      </c>
      <c r="V81" s="59">
        <f t="shared" si="36"/>
        <v>3.8750710424587451E-5</v>
      </c>
      <c r="W81" s="59">
        <f t="shared" si="37"/>
        <v>2.5703152087308274E-4</v>
      </c>
      <c r="X81" s="59">
        <f t="shared" si="38"/>
        <v>1.6930364365554592E-4</v>
      </c>
      <c r="Y81" s="60">
        <f t="shared" si="39"/>
        <v>1.7613259804083985E-4</v>
      </c>
      <c r="Z81" s="60">
        <f t="shared" si="40"/>
        <v>7.6160996797852893E-5</v>
      </c>
      <c r="AB81" s="68"/>
      <c r="AC81" s="59">
        <f t="shared" si="41"/>
        <v>6.7207197614991481</v>
      </c>
      <c r="AD81" s="59">
        <f t="shared" si="41"/>
        <v>-0.40192793016424644</v>
      </c>
      <c r="AE81" s="59">
        <f t="shared" si="41"/>
        <v>26.219516694336839</v>
      </c>
      <c r="AF81" s="59">
        <f t="shared" si="41"/>
        <v>-0.99116612563280626</v>
      </c>
      <c r="AG81" s="59">
        <f t="shared" si="28"/>
        <v>11.807537399309551</v>
      </c>
      <c r="AH81" s="59">
        <f t="shared" si="26"/>
        <v>3.7183075391031544</v>
      </c>
      <c r="AI81" s="59">
        <f t="shared" si="26"/>
        <v>0.23500427667127388</v>
      </c>
      <c r="AJ81" s="59">
        <f t="shared" si="26"/>
        <v>6.533716498726637</v>
      </c>
      <c r="AK81" s="59">
        <f t="shared" si="26"/>
        <v>-0.20205555209704007</v>
      </c>
      <c r="AL81" s="60">
        <f t="shared" si="27"/>
        <v>2.814299735981729E-2</v>
      </c>
      <c r="AM81" s="65">
        <f t="shared" si="42"/>
        <v>5.3667795559112319</v>
      </c>
      <c r="AO81" s="68"/>
      <c r="AP81" s="59">
        <f t="shared" si="43"/>
        <v>6.0995124243670329</v>
      </c>
      <c r="AQ81" s="59">
        <f t="shared" si="44"/>
        <v>-0.44442910372897948</v>
      </c>
      <c r="AR81" s="59">
        <f t="shared" si="45"/>
        <v>24.441178329130608</v>
      </c>
      <c r="AS81" s="59">
        <f t="shared" si="46"/>
        <v>-0.99170450336445326</v>
      </c>
      <c r="AT81" s="59">
        <f t="shared" si="47"/>
        <v>11.140130950385114</v>
      </c>
      <c r="AU81" s="59">
        <f t="shared" si="48"/>
        <v>3.4999442310608657</v>
      </c>
      <c r="AV81" s="59">
        <f t="shared" si="49"/>
        <v>0.18204850370527748</v>
      </c>
      <c r="AW81" s="59">
        <f t="shared" si="50"/>
        <v>6.1281261223641188</v>
      </c>
      <c r="AX81" s="59">
        <f t="shared" si="51"/>
        <v>-0.25889807011891897</v>
      </c>
      <c r="AY81" s="59">
        <f t="shared" si="52"/>
        <v>7.9833307449188595E-3</v>
      </c>
      <c r="AZ81" s="65">
        <f t="shared" si="53"/>
        <v>4.9803892214545584</v>
      </c>
    </row>
    <row r="82" spans="1:52" ht="38.25">
      <c r="A82" s="515" t="s">
        <v>138</v>
      </c>
      <c r="B82" s="495">
        <v>1434881</v>
      </c>
      <c r="C82" s="496">
        <v>1161517</v>
      </c>
      <c r="D82" s="496">
        <v>2312987</v>
      </c>
      <c r="E82" s="496">
        <v>1112978</v>
      </c>
      <c r="F82" s="496">
        <v>593211</v>
      </c>
      <c r="G82" s="496">
        <v>638304</v>
      </c>
      <c r="H82" s="496">
        <v>889537</v>
      </c>
      <c r="I82" s="496">
        <v>1284407</v>
      </c>
      <c r="J82" s="496">
        <v>2378594</v>
      </c>
      <c r="K82" s="496">
        <v>1912641</v>
      </c>
      <c r="L82" s="497">
        <v>2170640</v>
      </c>
      <c r="M82" s="463"/>
      <c r="O82" s="58">
        <f t="shared" si="29"/>
        <v>3.7472460866229548E-4</v>
      </c>
      <c r="P82" s="59">
        <f t="shared" si="30"/>
        <v>1.9388666501662932E-4</v>
      </c>
      <c r="Q82" s="59">
        <f t="shared" si="31"/>
        <v>2.1452477048117849E-4</v>
      </c>
      <c r="R82" s="59">
        <f t="shared" si="32"/>
        <v>1.1815697695107471E-4</v>
      </c>
      <c r="S82" s="59">
        <f t="shared" si="33"/>
        <v>5.0118505814500802E-5</v>
      </c>
      <c r="T82" s="59">
        <f t="shared" si="34"/>
        <v>4.549992454872422E-5</v>
      </c>
      <c r="U82" s="59">
        <f t="shared" si="35"/>
        <v>5.9641771719878587E-5</v>
      </c>
      <c r="V82" s="59">
        <f t="shared" si="36"/>
        <v>6.395300727566205E-5</v>
      </c>
      <c r="W82" s="59">
        <f t="shared" si="37"/>
        <v>1.0427400880578416E-4</v>
      </c>
      <c r="X82" s="59">
        <f t="shared" si="38"/>
        <v>6.921440248444511E-5</v>
      </c>
      <c r="Y82" s="60">
        <f t="shared" si="39"/>
        <v>7.9482355489637207E-5</v>
      </c>
      <c r="Z82" s="60">
        <f t="shared" si="40"/>
        <v>1.2486154520452818E-4</v>
      </c>
      <c r="AB82" s="68"/>
      <c r="AC82" s="59">
        <f t="shared" si="41"/>
        <v>-0.19051335964445837</v>
      </c>
      <c r="AD82" s="59">
        <f t="shared" si="41"/>
        <v>0.9913501050781004</v>
      </c>
      <c r="AE82" s="59">
        <f t="shared" si="41"/>
        <v>-0.5188135514812664</v>
      </c>
      <c r="AF82" s="59">
        <f t="shared" si="41"/>
        <v>-0.46700563712849674</v>
      </c>
      <c r="AG82" s="59">
        <f t="shared" si="28"/>
        <v>7.6015110980747203E-2</v>
      </c>
      <c r="AH82" s="59">
        <f t="shared" si="26"/>
        <v>0.39359458815862025</v>
      </c>
      <c r="AI82" s="59">
        <f t="shared" si="26"/>
        <v>0.44390508770292869</v>
      </c>
      <c r="AJ82" s="59">
        <f t="shared" si="26"/>
        <v>0.85190052685791962</v>
      </c>
      <c r="AK82" s="59">
        <f t="shared" si="26"/>
        <v>-0.19589429721928164</v>
      </c>
      <c r="AL82" s="60">
        <f t="shared" si="27"/>
        <v>0.13489149296705438</v>
      </c>
      <c r="AM82" s="65">
        <f t="shared" si="42"/>
        <v>0.15194300662718674</v>
      </c>
      <c r="AO82" s="68"/>
      <c r="AP82" s="59">
        <f t="shared" si="43"/>
        <v>-0.25564446863858237</v>
      </c>
      <c r="AQ82" s="59">
        <f t="shared" si="44"/>
        <v>0.84983753374649362</v>
      </c>
      <c r="AR82" s="59">
        <f t="shared" si="45"/>
        <v>-0.55025100615129119</v>
      </c>
      <c r="AS82" s="59">
        <f t="shared" si="46"/>
        <v>-0.49948881315475324</v>
      </c>
      <c r="AT82" s="59">
        <f t="shared" si="47"/>
        <v>1.9943486763010609E-2</v>
      </c>
      <c r="AU82" s="59">
        <f t="shared" si="48"/>
        <v>0.32909902024191129</v>
      </c>
      <c r="AV82" s="59">
        <f t="shared" si="49"/>
        <v>0.3819918527018844</v>
      </c>
      <c r="AW82" s="59">
        <f t="shared" si="50"/>
        <v>0.75220032818423666</v>
      </c>
      <c r="AX82" s="59">
        <f t="shared" si="51"/>
        <v>-0.25317571953123585</v>
      </c>
      <c r="AY82" s="59">
        <f t="shared" si="52"/>
        <v>0.1126387185951514</v>
      </c>
      <c r="AZ82" s="65">
        <f t="shared" si="53"/>
        <v>8.8715093275682541E-2</v>
      </c>
    </row>
    <row r="83" spans="1:52">
      <c r="A83" s="515" t="s">
        <v>139</v>
      </c>
      <c r="B83" s="495">
        <v>14080241</v>
      </c>
      <c r="C83" s="496">
        <v>90880511</v>
      </c>
      <c r="D83" s="496">
        <v>180691717</v>
      </c>
      <c r="E83" s="496">
        <v>47008450</v>
      </c>
      <c r="F83" s="496">
        <v>42663395</v>
      </c>
      <c r="G83" s="496">
        <v>70304894</v>
      </c>
      <c r="H83" s="496">
        <v>97022460</v>
      </c>
      <c r="I83" s="496">
        <v>131040451</v>
      </c>
      <c r="J83" s="496">
        <v>240611407</v>
      </c>
      <c r="K83" s="496">
        <v>366318859.44</v>
      </c>
      <c r="L83" s="497">
        <v>319171374.44</v>
      </c>
      <c r="M83" s="463"/>
      <c r="O83" s="58">
        <f t="shared" si="29"/>
        <v>3.6771082748993178E-3</v>
      </c>
      <c r="P83" s="59">
        <f t="shared" si="30"/>
        <v>1.517026370926736E-2</v>
      </c>
      <c r="Q83" s="59">
        <f t="shared" si="31"/>
        <v>1.6758783822509619E-2</v>
      </c>
      <c r="R83" s="59">
        <f t="shared" si="32"/>
        <v>4.9905535807138581E-3</v>
      </c>
      <c r="S83" s="59">
        <f t="shared" si="33"/>
        <v>3.6044942025246405E-3</v>
      </c>
      <c r="T83" s="59">
        <f t="shared" si="34"/>
        <v>5.0115107729327311E-3</v>
      </c>
      <c r="U83" s="59">
        <f t="shared" si="35"/>
        <v>6.5051722536792192E-3</v>
      </c>
      <c r="V83" s="59">
        <f t="shared" si="36"/>
        <v>6.5247471527397757E-3</v>
      </c>
      <c r="W83" s="59">
        <f t="shared" si="37"/>
        <v>1.05480447576552E-2</v>
      </c>
      <c r="X83" s="59">
        <f t="shared" si="38"/>
        <v>1.3256298999615211E-2</v>
      </c>
      <c r="Y83" s="60">
        <f t="shared" si="39"/>
        <v>1.1687102718717146E-2</v>
      </c>
      <c r="Z83" s="60">
        <f t="shared" si="40"/>
        <v>8.8849163859321886E-3</v>
      </c>
      <c r="AB83" s="68"/>
      <c r="AC83" s="59">
        <f t="shared" si="41"/>
        <v>5.4544712693483017</v>
      </c>
      <c r="AD83" s="59">
        <f t="shared" si="41"/>
        <v>0.98823394599970937</v>
      </c>
      <c r="AE83" s="59">
        <f t="shared" si="41"/>
        <v>-0.73984169955062185</v>
      </c>
      <c r="AF83" s="59">
        <f t="shared" si="41"/>
        <v>-9.2431360744717139E-2</v>
      </c>
      <c r="AG83" s="59">
        <f t="shared" si="28"/>
        <v>0.64789731337602174</v>
      </c>
      <c r="AH83" s="59">
        <f t="shared" si="26"/>
        <v>0.3800242697186913</v>
      </c>
      <c r="AI83" s="59">
        <f t="shared" si="26"/>
        <v>0.35061975340555174</v>
      </c>
      <c r="AJ83" s="59">
        <f t="shared" si="26"/>
        <v>0.83616131632514001</v>
      </c>
      <c r="AK83" s="59">
        <f t="shared" ref="AK83:AL146" si="54">+IF(J83=0,"",K83/J83-1)</f>
        <v>0.52245009497824846</v>
      </c>
      <c r="AL83" s="60">
        <f t="shared" si="27"/>
        <v>-0.12870613615710491</v>
      </c>
      <c r="AM83" s="65">
        <f t="shared" si="42"/>
        <v>0.82188787666992213</v>
      </c>
      <c r="AO83" s="68"/>
      <c r="AP83" s="59">
        <f t="shared" si="43"/>
        <v>4.9351459948030367</v>
      </c>
      <c r="AQ83" s="59">
        <f t="shared" si="44"/>
        <v>0.8469428202505429</v>
      </c>
      <c r="AR83" s="59">
        <f t="shared" si="45"/>
        <v>-0.75683867609180466</v>
      </c>
      <c r="AS83" s="59">
        <f t="shared" si="46"/>
        <v>-0.14774284979314223</v>
      </c>
      <c r="AT83" s="59">
        <f t="shared" si="47"/>
        <v>0.56202465418927594</v>
      </c>
      <c r="AU83" s="59">
        <f t="shared" si="48"/>
        <v>0.31615673624042717</v>
      </c>
      <c r="AV83" s="59">
        <f t="shared" si="49"/>
        <v>0.29270650211097982</v>
      </c>
      <c r="AW83" s="59">
        <f t="shared" si="50"/>
        <v>0.73730846468458711</v>
      </c>
      <c r="AX83" s="59">
        <f t="shared" si="51"/>
        <v>0.41399655890986198</v>
      </c>
      <c r="AY83" s="59">
        <f t="shared" si="52"/>
        <v>-0.14579032956578919</v>
      </c>
      <c r="AZ83" s="65">
        <f t="shared" si="53"/>
        <v>0.70539098757379759</v>
      </c>
    </row>
    <row r="84" spans="1:52" ht="25.5">
      <c r="A84" s="515" t="s">
        <v>140</v>
      </c>
      <c r="B84" s="495">
        <v>557345</v>
      </c>
      <c r="C84" s="496">
        <v>3698369</v>
      </c>
      <c r="D84" s="496">
        <v>4985867</v>
      </c>
      <c r="E84" s="496">
        <v>5091110</v>
      </c>
      <c r="F84" s="496">
        <v>3528756</v>
      </c>
      <c r="G84" s="496">
        <v>5584041</v>
      </c>
      <c r="H84" s="496">
        <v>4960330</v>
      </c>
      <c r="I84" s="496">
        <v>8125380</v>
      </c>
      <c r="J84" s="496">
        <v>10765871</v>
      </c>
      <c r="K84" s="496">
        <v>10813980</v>
      </c>
      <c r="L84" s="497">
        <v>6106173</v>
      </c>
      <c r="M84" s="463"/>
      <c r="O84" s="58">
        <f t="shared" si="29"/>
        <v>1.4555275804396816E-4</v>
      </c>
      <c r="P84" s="59">
        <f t="shared" si="30"/>
        <v>6.1735164565898421E-4</v>
      </c>
      <c r="Q84" s="59">
        <f t="shared" si="31"/>
        <v>4.6242887392997968E-4</v>
      </c>
      <c r="R84" s="59">
        <f t="shared" si="32"/>
        <v>5.4048702393523138E-4</v>
      </c>
      <c r="S84" s="59">
        <f t="shared" si="33"/>
        <v>2.9813334227442615E-4</v>
      </c>
      <c r="T84" s="59">
        <f t="shared" si="34"/>
        <v>3.98044574649356E-4</v>
      </c>
      <c r="U84" s="59">
        <f t="shared" si="35"/>
        <v>3.3258073527606537E-4</v>
      </c>
      <c r="V84" s="59">
        <f t="shared" si="36"/>
        <v>4.0457774385963246E-4</v>
      </c>
      <c r="W84" s="59">
        <f t="shared" si="37"/>
        <v>4.7195970706053082E-4</v>
      </c>
      <c r="X84" s="59">
        <f t="shared" si="38"/>
        <v>3.9133489461887504E-4</v>
      </c>
      <c r="Y84" s="60">
        <f t="shared" si="39"/>
        <v>2.235898228482035E-4</v>
      </c>
      <c r="Z84" s="60">
        <f t="shared" si="40"/>
        <v>3.8964010201411392E-4</v>
      </c>
      <c r="AB84" s="68"/>
      <c r="AC84" s="59">
        <f t="shared" si="41"/>
        <v>5.6356906404471196</v>
      </c>
      <c r="AD84" s="59">
        <f t="shared" si="41"/>
        <v>0.34812589008830641</v>
      </c>
      <c r="AE84" s="59">
        <f t="shared" si="41"/>
        <v>2.1108264620777195E-2</v>
      </c>
      <c r="AF84" s="59">
        <f t="shared" si="41"/>
        <v>-0.30687885353095889</v>
      </c>
      <c r="AG84" s="59">
        <f t="shared" si="28"/>
        <v>0.58243896716009824</v>
      </c>
      <c r="AH84" s="59">
        <f t="shared" si="28"/>
        <v>-0.11169527587637695</v>
      </c>
      <c r="AI84" s="59">
        <f t="shared" si="28"/>
        <v>0.63807246695280351</v>
      </c>
      <c r="AJ84" s="59">
        <f t="shared" si="28"/>
        <v>0.32496830917446329</v>
      </c>
      <c r="AK84" s="59">
        <f t="shared" si="54"/>
        <v>4.4686584113817762E-3</v>
      </c>
      <c r="AL84" s="60">
        <f t="shared" si="54"/>
        <v>-0.43534452625212916</v>
      </c>
      <c r="AM84" s="65">
        <f t="shared" si="42"/>
        <v>0.67009545411954841</v>
      </c>
      <c r="AO84" s="68"/>
      <c r="AP84" s="59">
        <f t="shared" si="43"/>
        <v>5.1017844969628694</v>
      </c>
      <c r="AQ84" s="59">
        <f t="shared" si="44"/>
        <v>0.25232316775504549</v>
      </c>
      <c r="AR84" s="59">
        <f t="shared" si="45"/>
        <v>-4.5604014748315658E-2</v>
      </c>
      <c r="AS84" s="59">
        <f t="shared" si="46"/>
        <v>-0.34912090668697426</v>
      </c>
      <c r="AT84" s="59">
        <f t="shared" si="47"/>
        <v>0.49997737139939336</v>
      </c>
      <c r="AU84" s="59">
        <f t="shared" si="48"/>
        <v>-0.15280602512314967</v>
      </c>
      <c r="AV84" s="59">
        <f t="shared" si="49"/>
        <v>0.56783352503139706</v>
      </c>
      <c r="AW84" s="59">
        <f t="shared" si="50"/>
        <v>0.25363639812135808</v>
      </c>
      <c r="AX84" s="59">
        <f t="shared" si="51"/>
        <v>-6.7085856402543165E-2</v>
      </c>
      <c r="AY84" s="59">
        <f t="shared" si="52"/>
        <v>-0.44641620220796974</v>
      </c>
      <c r="AZ84" s="65">
        <f t="shared" si="53"/>
        <v>0.56145219541011115</v>
      </c>
    </row>
    <row r="85" spans="1:52">
      <c r="A85" s="515" t="s">
        <v>141</v>
      </c>
      <c r="B85" s="495">
        <v>367825</v>
      </c>
      <c r="C85" s="496">
        <v>3958323</v>
      </c>
      <c r="D85" s="496">
        <v>6412554</v>
      </c>
      <c r="E85" s="496">
        <v>7528414</v>
      </c>
      <c r="F85" s="496">
        <v>5424021</v>
      </c>
      <c r="G85" s="496">
        <v>5645558</v>
      </c>
      <c r="H85" s="496">
        <v>2450083</v>
      </c>
      <c r="I85" s="496">
        <v>3690680</v>
      </c>
      <c r="J85" s="496">
        <v>5361420</v>
      </c>
      <c r="K85" s="496">
        <v>7039786</v>
      </c>
      <c r="L85" s="497">
        <v>9998024</v>
      </c>
      <c r="M85" s="463"/>
      <c r="O85" s="58">
        <f t="shared" si="29"/>
        <v>9.6058892118028492E-5</v>
      </c>
      <c r="P85" s="59">
        <f t="shared" si="30"/>
        <v>6.6074456553681031E-4</v>
      </c>
      <c r="Q85" s="59">
        <f t="shared" si="31"/>
        <v>5.9475114864379391E-4</v>
      </c>
      <c r="R85" s="59">
        <f t="shared" si="32"/>
        <v>7.9923829534469517E-4</v>
      </c>
      <c r="S85" s="59">
        <f t="shared" si="33"/>
        <v>4.5825823868147163E-4</v>
      </c>
      <c r="T85" s="59">
        <f t="shared" si="34"/>
        <v>4.0242966209744322E-4</v>
      </c>
      <c r="U85" s="59">
        <f t="shared" si="35"/>
        <v>1.6427342649125926E-4</v>
      </c>
      <c r="V85" s="59">
        <f t="shared" si="36"/>
        <v>1.8376580390183208E-4</v>
      </c>
      <c r="W85" s="59">
        <f t="shared" si="37"/>
        <v>2.350366461411688E-4</v>
      </c>
      <c r="X85" s="59">
        <f t="shared" si="38"/>
        <v>2.5475485551567804E-4</v>
      </c>
      <c r="Y85" s="60">
        <f t="shared" si="39"/>
        <v>3.660977857967809E-4</v>
      </c>
      <c r="Z85" s="60">
        <f t="shared" si="40"/>
        <v>3.8321902911536021E-4</v>
      </c>
      <c r="AB85" s="68"/>
      <c r="AC85" s="59">
        <f t="shared" si="41"/>
        <v>9.7614300278665134</v>
      </c>
      <c r="AD85" s="59">
        <f t="shared" si="41"/>
        <v>0.62001787120454788</v>
      </c>
      <c r="AE85" s="59">
        <f t="shared" si="41"/>
        <v>0.17401178999818168</v>
      </c>
      <c r="AF85" s="59">
        <f t="shared" si="41"/>
        <v>-0.27952673697275421</v>
      </c>
      <c r="AG85" s="59">
        <f t="shared" si="28"/>
        <v>4.0843684049158391E-2</v>
      </c>
      <c r="AH85" s="59">
        <f t="shared" si="28"/>
        <v>-0.5660157950728697</v>
      </c>
      <c r="AI85" s="59">
        <f t="shared" si="28"/>
        <v>0.50634896858596212</v>
      </c>
      <c r="AJ85" s="59">
        <f t="shared" si="28"/>
        <v>0.45269164490012681</v>
      </c>
      <c r="AK85" s="59">
        <f t="shared" si="54"/>
        <v>0.31304505149755113</v>
      </c>
      <c r="AL85" s="60">
        <f t="shared" si="54"/>
        <v>0.42021703500646179</v>
      </c>
      <c r="AM85" s="65">
        <f t="shared" si="42"/>
        <v>1.1443063541062881</v>
      </c>
      <c r="AO85" s="68"/>
      <c r="AP85" s="59">
        <f t="shared" si="43"/>
        <v>8.8955678417163355</v>
      </c>
      <c r="AQ85" s="59">
        <f t="shared" si="44"/>
        <v>0.5048935171431006</v>
      </c>
      <c r="AR85" s="59">
        <f t="shared" si="45"/>
        <v>9.7309832692944687E-2</v>
      </c>
      <c r="AS85" s="59">
        <f t="shared" si="46"/>
        <v>-0.32343575638346711</v>
      </c>
      <c r="AT85" s="59">
        <f t="shared" si="47"/>
        <v>-1.3395141526640897E-2</v>
      </c>
      <c r="AU85" s="59">
        <f t="shared" si="48"/>
        <v>-0.58610058730835068</v>
      </c>
      <c r="AV85" s="59">
        <f t="shared" si="49"/>
        <v>0.44175820117339404</v>
      </c>
      <c r="AW85" s="59">
        <f t="shared" si="50"/>
        <v>0.37448353193313166</v>
      </c>
      <c r="AX85" s="59">
        <f t="shared" si="51"/>
        <v>0.21950873177073582</v>
      </c>
      <c r="AY85" s="59">
        <f t="shared" si="52"/>
        <v>0.39236964216319792</v>
      </c>
      <c r="AZ85" s="65">
        <f t="shared" si="53"/>
        <v>1.0002959813374381</v>
      </c>
    </row>
    <row r="86" spans="1:52" ht="38.25">
      <c r="A86" s="515" t="s">
        <v>142</v>
      </c>
      <c r="B86" s="495">
        <v>7331744</v>
      </c>
      <c r="C86" s="496">
        <v>24280200</v>
      </c>
      <c r="D86" s="496">
        <v>34853430</v>
      </c>
      <c r="E86" s="496">
        <v>43480668</v>
      </c>
      <c r="F86" s="496">
        <v>53343165</v>
      </c>
      <c r="G86" s="496">
        <v>61923549</v>
      </c>
      <c r="H86" s="496">
        <v>80406068</v>
      </c>
      <c r="I86" s="496">
        <v>99932703</v>
      </c>
      <c r="J86" s="496">
        <v>144418542</v>
      </c>
      <c r="K86" s="496">
        <v>165566156.47999999</v>
      </c>
      <c r="L86" s="497">
        <v>187828457.31</v>
      </c>
      <c r="M86" s="463"/>
      <c r="O86" s="58">
        <f t="shared" si="29"/>
        <v>1.9147127191816834E-3</v>
      </c>
      <c r="P86" s="59">
        <f t="shared" si="30"/>
        <v>4.0529815783469066E-3</v>
      </c>
      <c r="Q86" s="59">
        <f t="shared" si="31"/>
        <v>3.2325836985818857E-3</v>
      </c>
      <c r="R86" s="59">
        <f t="shared" si="32"/>
        <v>4.6160339977010609E-3</v>
      </c>
      <c r="S86" s="59">
        <f t="shared" si="33"/>
        <v>4.5067939151775269E-3</v>
      </c>
      <c r="T86" s="59">
        <f t="shared" si="34"/>
        <v>4.4140672897071409E-3</v>
      </c>
      <c r="U86" s="59">
        <f t="shared" si="35"/>
        <v>5.3910746293285546E-3</v>
      </c>
      <c r="V86" s="59">
        <f t="shared" si="36"/>
        <v>4.975834670813516E-3</v>
      </c>
      <c r="W86" s="59">
        <f t="shared" si="37"/>
        <v>6.3310932089404529E-3</v>
      </c>
      <c r="X86" s="59">
        <f t="shared" si="38"/>
        <v>5.9914864276198933E-3</v>
      </c>
      <c r="Y86" s="60">
        <f t="shared" si="39"/>
        <v>6.8777172700141736E-3</v>
      </c>
      <c r="Z86" s="60">
        <f t="shared" si="40"/>
        <v>4.754943582310254E-3</v>
      </c>
      <c r="AB86" s="68"/>
      <c r="AC86" s="59">
        <f t="shared" si="41"/>
        <v>2.3116540893953745</v>
      </c>
      <c r="AD86" s="59">
        <f t="shared" si="41"/>
        <v>0.4354671707811304</v>
      </c>
      <c r="AE86" s="59">
        <f t="shared" si="41"/>
        <v>0.24752909541471246</v>
      </c>
      <c r="AF86" s="59">
        <f t="shared" si="41"/>
        <v>0.22682487306772758</v>
      </c>
      <c r="AG86" s="59">
        <f t="shared" si="28"/>
        <v>0.16085254783813441</v>
      </c>
      <c r="AH86" s="59">
        <f t="shared" si="28"/>
        <v>0.29847318667087386</v>
      </c>
      <c r="AI86" s="59">
        <f t="shared" si="28"/>
        <v>0.24285026597743853</v>
      </c>
      <c r="AJ86" s="59">
        <f t="shared" si="28"/>
        <v>0.44515796795769647</v>
      </c>
      <c r="AK86" s="59">
        <f t="shared" si="54"/>
        <v>0.14643282079388387</v>
      </c>
      <c r="AL86" s="60">
        <f t="shared" si="54"/>
        <v>0.1344616635628022</v>
      </c>
      <c r="AM86" s="65">
        <f t="shared" si="42"/>
        <v>0.46497036814597753</v>
      </c>
      <c r="AO86" s="68"/>
      <c r="AP86" s="59">
        <f t="shared" si="43"/>
        <v>2.0451991626624135</v>
      </c>
      <c r="AQ86" s="59">
        <f t="shared" si="44"/>
        <v>0.33345765980597331</v>
      </c>
      <c r="AR86" s="59">
        <f t="shared" si="45"/>
        <v>0.16602401665082001</v>
      </c>
      <c r="AS86" s="59">
        <f t="shared" si="46"/>
        <v>0.15205641193325903</v>
      </c>
      <c r="AT86" s="59">
        <f t="shared" si="47"/>
        <v>0.10036000719411486</v>
      </c>
      <c r="AU86" s="59">
        <f t="shared" si="48"/>
        <v>0.23837983792329331</v>
      </c>
      <c r="AV86" s="59">
        <f t="shared" si="49"/>
        <v>0.18955806467978431</v>
      </c>
      <c r="AW86" s="59">
        <f t="shared" si="50"/>
        <v>0.3673554432374837</v>
      </c>
      <c r="AX86" s="59">
        <f t="shared" si="51"/>
        <v>6.4765320696464901E-2</v>
      </c>
      <c r="AY86" s="59">
        <f t="shared" si="52"/>
        <v>0.11221731721843353</v>
      </c>
      <c r="AZ86" s="65">
        <f t="shared" si="53"/>
        <v>0.37693732420020404</v>
      </c>
    </row>
    <row r="87" spans="1:52" ht="25.5">
      <c r="A87" s="515" t="s">
        <v>143</v>
      </c>
      <c r="B87" s="495"/>
      <c r="C87" s="496"/>
      <c r="D87" s="496"/>
      <c r="E87" s="496">
        <v>2782148</v>
      </c>
      <c r="F87" s="496">
        <v>1182850</v>
      </c>
      <c r="G87" s="496">
        <v>736372</v>
      </c>
      <c r="H87" s="496">
        <v>108569</v>
      </c>
      <c r="I87" s="496">
        <v>1265091</v>
      </c>
      <c r="J87" s="496">
        <v>818396</v>
      </c>
      <c r="K87" s="496"/>
      <c r="L87" s="497">
        <v>1387903</v>
      </c>
      <c r="M87" s="463"/>
      <c r="O87" s="58">
        <f t="shared" si="29"/>
        <v>0</v>
      </c>
      <c r="P87" s="59">
        <f t="shared" si="30"/>
        <v>0</v>
      </c>
      <c r="Q87" s="59">
        <f t="shared" si="31"/>
        <v>0</v>
      </c>
      <c r="R87" s="59">
        <f t="shared" si="32"/>
        <v>2.9536091199509657E-4</v>
      </c>
      <c r="S87" s="59">
        <f t="shared" si="33"/>
        <v>9.9935224739059581E-5</v>
      </c>
      <c r="T87" s="59">
        <f t="shared" si="34"/>
        <v>5.2490459780595379E-5</v>
      </c>
      <c r="U87" s="59">
        <f t="shared" si="35"/>
        <v>7.2793459000080925E-6</v>
      </c>
      <c r="V87" s="59">
        <f t="shared" si="36"/>
        <v>6.2991227801915264E-5</v>
      </c>
      <c r="W87" s="59">
        <f t="shared" si="37"/>
        <v>3.5877258460510083E-5</v>
      </c>
      <c r="X87" s="59">
        <f t="shared" si="38"/>
        <v>0</v>
      </c>
      <c r="Y87" s="60">
        <f t="shared" si="39"/>
        <v>5.0820863722742577E-5</v>
      </c>
      <c r="Z87" s="60">
        <f t="shared" si="40"/>
        <v>5.4977753854538864E-5</v>
      </c>
      <c r="AB87" s="68"/>
      <c r="AC87" s="59" t="str">
        <f t="shared" si="41"/>
        <v/>
      </c>
      <c r="AD87" s="59" t="str">
        <f t="shared" si="41"/>
        <v/>
      </c>
      <c r="AE87" s="59" t="str">
        <f t="shared" si="41"/>
        <v/>
      </c>
      <c r="AF87" s="59">
        <f t="shared" si="41"/>
        <v>-0.57484289117617038</v>
      </c>
      <c r="AG87" s="59">
        <f t="shared" si="28"/>
        <v>-0.37745952572177366</v>
      </c>
      <c r="AH87" s="59">
        <f t="shared" si="28"/>
        <v>-0.85256229188507981</v>
      </c>
      <c r="AI87" s="59">
        <f t="shared" si="28"/>
        <v>10.652414593484329</v>
      </c>
      <c r="AJ87" s="59">
        <f t="shared" si="28"/>
        <v>-0.35309317669637996</v>
      </c>
      <c r="AK87" s="59">
        <f t="shared" si="54"/>
        <v>-1</v>
      </c>
      <c r="AL87" s="60" t="str">
        <f t="shared" si="54"/>
        <v/>
      </c>
      <c r="AM87" s="65">
        <f t="shared" si="42"/>
        <v>1.249076118000821</v>
      </c>
      <c r="AO87" s="68"/>
      <c r="AP87" s="59">
        <f t="shared" si="43"/>
        <v>0</v>
      </c>
      <c r="AQ87" s="59">
        <f t="shared" si="44"/>
        <v>0</v>
      </c>
      <c r="AR87" s="59">
        <f t="shared" si="45"/>
        <v>0</v>
      </c>
      <c r="AS87" s="59">
        <f t="shared" si="46"/>
        <v>-0.6007539592226222</v>
      </c>
      <c r="AT87" s="59">
        <f t="shared" si="47"/>
        <v>-0.40990038568538889</v>
      </c>
      <c r="AU87" s="59">
        <f t="shared" si="48"/>
        <v>-0.85938571011446185</v>
      </c>
      <c r="AV87" s="59">
        <f t="shared" si="49"/>
        <v>10.152770476152689</v>
      </c>
      <c r="AW87" s="59">
        <f t="shared" si="50"/>
        <v>-0.38792050023311564</v>
      </c>
      <c r="AX87" s="59">
        <f t="shared" si="51"/>
        <v>-1</v>
      </c>
      <c r="AY87" s="59">
        <f t="shared" si="52"/>
        <v>0</v>
      </c>
      <c r="AZ87" s="65">
        <f t="shared" si="53"/>
        <v>0.68948099208971003</v>
      </c>
    </row>
    <row r="88" spans="1:52" ht="25.5">
      <c r="A88" s="515" t="s">
        <v>144</v>
      </c>
      <c r="B88" s="495">
        <v>30148181</v>
      </c>
      <c r="C88" s="496">
        <v>117407577</v>
      </c>
      <c r="D88" s="496">
        <v>258593613</v>
      </c>
      <c r="E88" s="496">
        <v>107253077</v>
      </c>
      <c r="F88" s="496">
        <v>129644909</v>
      </c>
      <c r="G88" s="496">
        <v>165616427</v>
      </c>
      <c r="H88" s="496">
        <v>213862287</v>
      </c>
      <c r="I88" s="496">
        <v>232184567</v>
      </c>
      <c r="J88" s="496">
        <v>1050716927</v>
      </c>
      <c r="K88" s="496">
        <v>1179856215.7</v>
      </c>
      <c r="L88" s="497">
        <v>1487607590.8699999</v>
      </c>
      <c r="M88" s="463"/>
      <c r="O88" s="58">
        <f t="shared" si="29"/>
        <v>7.8733116733060455E-3</v>
      </c>
      <c r="P88" s="59">
        <f t="shared" si="30"/>
        <v>1.9598304245407611E-2</v>
      </c>
      <c r="Q88" s="59">
        <f t="shared" si="31"/>
        <v>2.3984023894956474E-2</v>
      </c>
      <c r="R88" s="59">
        <f t="shared" si="32"/>
        <v>1.1386298154160137E-2</v>
      </c>
      <c r="S88" s="59">
        <f t="shared" si="33"/>
        <v>1.0953284961905507E-2</v>
      </c>
      <c r="T88" s="59">
        <f t="shared" si="34"/>
        <v>1.1805558060938507E-2</v>
      </c>
      <c r="U88" s="59">
        <f t="shared" si="35"/>
        <v>1.4339061445162098E-2</v>
      </c>
      <c r="V88" s="59">
        <f t="shared" si="36"/>
        <v>1.1560900324155384E-2</v>
      </c>
      <c r="W88" s="59">
        <f t="shared" si="37"/>
        <v>4.6061860955835449E-2</v>
      </c>
      <c r="X88" s="59">
        <f t="shared" si="38"/>
        <v>4.2696482501020365E-2</v>
      </c>
      <c r="Y88" s="60">
        <f t="shared" si="39"/>
        <v>5.447174813263006E-2</v>
      </c>
      <c r="Z88" s="60">
        <f t="shared" si="40"/>
        <v>2.3157348577225238E-2</v>
      </c>
      <c r="AB88" s="68"/>
      <c r="AC88" s="59">
        <f t="shared" si="41"/>
        <v>2.8943502760581143</v>
      </c>
      <c r="AD88" s="59">
        <f t="shared" si="41"/>
        <v>1.202529168964964</v>
      </c>
      <c r="AE88" s="59">
        <f t="shared" si="41"/>
        <v>-0.58524467887766429</v>
      </c>
      <c r="AF88" s="59">
        <f t="shared" si="41"/>
        <v>0.20877566058081487</v>
      </c>
      <c r="AG88" s="59">
        <f t="shared" si="28"/>
        <v>0.2774618631573107</v>
      </c>
      <c r="AH88" s="59">
        <f t="shared" si="28"/>
        <v>0.2913108371792128</v>
      </c>
      <c r="AI88" s="59">
        <f t="shared" si="28"/>
        <v>8.5673263187352022E-2</v>
      </c>
      <c r="AJ88" s="59">
        <f t="shared" si="28"/>
        <v>3.525352139360753</v>
      </c>
      <c r="AK88" s="59">
        <f t="shared" si="54"/>
        <v>0.12290588014863113</v>
      </c>
      <c r="AL88" s="60">
        <f t="shared" si="54"/>
        <v>0.26083803354581914</v>
      </c>
      <c r="AM88" s="65">
        <f t="shared" si="42"/>
        <v>0.82839524433053069</v>
      </c>
      <c r="AO88" s="68"/>
      <c r="AP88" s="59">
        <f t="shared" si="43"/>
        <v>2.5810117480994159</v>
      </c>
      <c r="AQ88" s="59">
        <f t="shared" si="44"/>
        <v>1.0460094463213787</v>
      </c>
      <c r="AR88" s="59">
        <f t="shared" si="45"/>
        <v>-0.61234197483658692</v>
      </c>
      <c r="AS88" s="59">
        <f t="shared" si="46"/>
        <v>0.13510720309964785</v>
      </c>
      <c r="AT88" s="59">
        <f t="shared" si="47"/>
        <v>0.21089275942217922</v>
      </c>
      <c r="AU88" s="59">
        <f t="shared" si="48"/>
        <v>0.23154896201943731</v>
      </c>
      <c r="AV88" s="59">
        <f t="shared" si="49"/>
        <v>3.9120657721432028E-2</v>
      </c>
      <c r="AW88" s="59">
        <f t="shared" si="50"/>
        <v>3.2817221490782034</v>
      </c>
      <c r="AX88" s="59">
        <f t="shared" si="51"/>
        <v>4.2914349538990537E-2</v>
      </c>
      <c r="AY88" s="59">
        <f t="shared" si="52"/>
        <v>0.23611571916256779</v>
      </c>
      <c r="AZ88" s="65">
        <f t="shared" si="53"/>
        <v>0.71921010196266644</v>
      </c>
    </row>
    <row r="89" spans="1:52" ht="38.25">
      <c r="A89" s="515" t="s">
        <v>24</v>
      </c>
      <c r="B89" s="495">
        <v>2629945</v>
      </c>
      <c r="C89" s="496">
        <v>1646281</v>
      </c>
      <c r="D89" s="496">
        <v>6544139</v>
      </c>
      <c r="E89" s="496">
        <v>3686848</v>
      </c>
      <c r="F89" s="496">
        <v>3712374</v>
      </c>
      <c r="G89" s="496">
        <v>27944248</v>
      </c>
      <c r="H89" s="496">
        <v>49702249</v>
      </c>
      <c r="I89" s="496">
        <v>49780633</v>
      </c>
      <c r="J89" s="496">
        <v>26006965</v>
      </c>
      <c r="K89" s="496">
        <v>38592871</v>
      </c>
      <c r="L89" s="497">
        <v>40675545</v>
      </c>
      <c r="M89" s="463"/>
      <c r="O89" s="58">
        <f t="shared" si="29"/>
        <v>6.8682009931719822E-4</v>
      </c>
      <c r="P89" s="59">
        <f t="shared" si="30"/>
        <v>2.7480607926551358E-4</v>
      </c>
      <c r="Q89" s="59">
        <f t="shared" si="31"/>
        <v>6.0695538581579962E-4</v>
      </c>
      <c r="R89" s="59">
        <f t="shared" si="32"/>
        <v>3.9140649155519326E-4</v>
      </c>
      <c r="S89" s="59">
        <f t="shared" si="33"/>
        <v>3.1364664159060031E-4</v>
      </c>
      <c r="T89" s="59">
        <f t="shared" si="34"/>
        <v>1.9919367191351418E-3</v>
      </c>
      <c r="U89" s="59">
        <f t="shared" si="35"/>
        <v>3.33244169587388E-3</v>
      </c>
      <c r="V89" s="59">
        <f t="shared" si="36"/>
        <v>2.4786700667592614E-3</v>
      </c>
      <c r="W89" s="59">
        <f t="shared" si="37"/>
        <v>1.1401065072146489E-3</v>
      </c>
      <c r="X89" s="59">
        <f t="shared" si="38"/>
        <v>1.3965937708248803E-3</v>
      </c>
      <c r="Y89" s="60">
        <f t="shared" si="39"/>
        <v>1.4894170048578921E-3</v>
      </c>
      <c r="Z89" s="60">
        <f t="shared" si="40"/>
        <v>1.282072769291819E-3</v>
      </c>
      <c r="AB89" s="68"/>
      <c r="AC89" s="59">
        <f t="shared" si="41"/>
        <v>-0.37402455184424011</v>
      </c>
      <c r="AD89" s="59">
        <f t="shared" si="41"/>
        <v>2.9751044930968651</v>
      </c>
      <c r="AE89" s="59">
        <f t="shared" si="41"/>
        <v>-0.4366183236633574</v>
      </c>
      <c r="AF89" s="59">
        <f t="shared" si="41"/>
        <v>6.923529258596961E-3</v>
      </c>
      <c r="AG89" s="59">
        <f t="shared" si="28"/>
        <v>6.5273256412204157</v>
      </c>
      <c r="AH89" s="59">
        <f t="shared" si="28"/>
        <v>0.77862181154418608</v>
      </c>
      <c r="AI89" s="59">
        <f t="shared" si="28"/>
        <v>1.5770714922780371E-3</v>
      </c>
      <c r="AJ89" s="59">
        <f t="shared" si="28"/>
        <v>-0.47756861589124433</v>
      </c>
      <c r="AK89" s="59">
        <f t="shared" si="54"/>
        <v>0.48394366662930488</v>
      </c>
      <c r="AL89" s="60">
        <f t="shared" si="54"/>
        <v>5.3965251768908207E-2</v>
      </c>
      <c r="AM89" s="65">
        <f t="shared" si="42"/>
        <v>0.95392499736117142</v>
      </c>
      <c r="AO89" s="68"/>
      <c r="AP89" s="59">
        <f t="shared" si="43"/>
        <v>-0.42439039250045063</v>
      </c>
      <c r="AQ89" s="59">
        <f t="shared" si="44"/>
        <v>2.6926191296766047</v>
      </c>
      <c r="AR89" s="59">
        <f t="shared" si="45"/>
        <v>-0.47342585630746559</v>
      </c>
      <c r="AS89" s="59">
        <f t="shared" si="46"/>
        <v>-5.444311272551694E-2</v>
      </c>
      <c r="AT89" s="59">
        <f t="shared" si="47"/>
        <v>6.1350733666827981</v>
      </c>
      <c r="AU89" s="59">
        <f t="shared" si="48"/>
        <v>0.69630718086227428</v>
      </c>
      <c r="AV89" s="59">
        <f t="shared" si="49"/>
        <v>-4.1369571695752172E-2</v>
      </c>
      <c r="AW89" s="59">
        <f t="shared" si="50"/>
        <v>-0.5056945935199586</v>
      </c>
      <c r="AX89" s="59">
        <f t="shared" si="51"/>
        <v>0.37823318160054331</v>
      </c>
      <c r="AY89" s="59">
        <f t="shared" si="52"/>
        <v>3.3299266440106168E-2</v>
      </c>
      <c r="AZ89" s="65">
        <f t="shared" si="53"/>
        <v>0.84362085985131829</v>
      </c>
    </row>
    <row r="90" spans="1:52" ht="25.5">
      <c r="A90" s="515" t="s">
        <v>145</v>
      </c>
      <c r="B90" s="495">
        <v>241718349</v>
      </c>
      <c r="C90" s="496">
        <v>298229680</v>
      </c>
      <c r="D90" s="496">
        <v>651822588</v>
      </c>
      <c r="E90" s="496">
        <v>760510895</v>
      </c>
      <c r="F90" s="496">
        <v>616250182</v>
      </c>
      <c r="G90" s="496">
        <v>301178290</v>
      </c>
      <c r="H90" s="496">
        <v>365581443</v>
      </c>
      <c r="I90" s="496">
        <v>415137475</v>
      </c>
      <c r="J90" s="496">
        <v>547045148</v>
      </c>
      <c r="K90" s="496">
        <v>700592988.38999999</v>
      </c>
      <c r="L90" s="497">
        <v>913148655.66999996</v>
      </c>
      <c r="M90" s="463"/>
      <c r="O90" s="58">
        <f t="shared" si="29"/>
        <v>6.3125662501295352E-2</v>
      </c>
      <c r="P90" s="59">
        <f t="shared" si="30"/>
        <v>4.9782102254359223E-2</v>
      </c>
      <c r="Q90" s="59">
        <f t="shared" si="31"/>
        <v>6.0455199741783143E-2</v>
      </c>
      <c r="R90" s="59">
        <f t="shared" si="32"/>
        <v>8.0738045398521988E-2</v>
      </c>
      <c r="S90" s="59">
        <f t="shared" si="33"/>
        <v>5.2065012836501987E-2</v>
      </c>
      <c r="T90" s="59">
        <f t="shared" si="34"/>
        <v>2.1468750737444513E-2</v>
      </c>
      <c r="U90" s="59">
        <f t="shared" si="35"/>
        <v>2.4511543610248709E-2</v>
      </c>
      <c r="V90" s="59">
        <f t="shared" si="36"/>
        <v>2.0670465015431225E-2</v>
      </c>
      <c r="W90" s="59">
        <f t="shared" si="37"/>
        <v>2.3981642339850135E-2</v>
      </c>
      <c r="X90" s="59">
        <f t="shared" si="38"/>
        <v>2.5352967481197801E-2</v>
      </c>
      <c r="Y90" s="60">
        <f t="shared" si="39"/>
        <v>3.3436777201584444E-2</v>
      </c>
      <c r="Z90" s="60">
        <f t="shared" si="40"/>
        <v>4.1417106283474413E-2</v>
      </c>
      <c r="AB90" s="68"/>
      <c r="AC90" s="59">
        <f t="shared" si="41"/>
        <v>0.23378999250073473</v>
      </c>
      <c r="AD90" s="59">
        <f t="shared" si="41"/>
        <v>1.1856395647810776</v>
      </c>
      <c r="AE90" s="59">
        <f t="shared" si="41"/>
        <v>0.1667452294549816</v>
      </c>
      <c r="AF90" s="59">
        <f t="shared" si="41"/>
        <v>-0.1896892128021388</v>
      </c>
      <c r="AG90" s="59">
        <f t="shared" si="28"/>
        <v>-0.51127269606226267</v>
      </c>
      <c r="AH90" s="59">
        <f t="shared" si="28"/>
        <v>0.21383730215082908</v>
      </c>
      <c r="AI90" s="59">
        <f t="shared" si="28"/>
        <v>0.13555401388357669</v>
      </c>
      <c r="AJ90" s="59">
        <f t="shared" si="28"/>
        <v>0.31774455678808566</v>
      </c>
      <c r="AK90" s="59">
        <f t="shared" si="54"/>
        <v>0.28068586468844803</v>
      </c>
      <c r="AL90" s="60">
        <f t="shared" si="54"/>
        <v>0.30339394027973965</v>
      </c>
      <c r="AM90" s="65">
        <f t="shared" si="42"/>
        <v>0.21364285556630716</v>
      </c>
      <c r="AO90" s="68"/>
      <c r="AP90" s="59">
        <f t="shared" si="43"/>
        <v>0.13451953333400901</v>
      </c>
      <c r="AQ90" s="59">
        <f t="shared" si="44"/>
        <v>1.0303200787562261</v>
      </c>
      <c r="AR90" s="59">
        <f t="shared" si="45"/>
        <v>9.051801986632535E-2</v>
      </c>
      <c r="AS90" s="59">
        <f t="shared" si="46"/>
        <v>-0.23907335224165538</v>
      </c>
      <c r="AT90" s="59">
        <f t="shared" si="47"/>
        <v>-0.53674049242654132</v>
      </c>
      <c r="AU90" s="59">
        <f t="shared" si="48"/>
        <v>0.15766090276903633</v>
      </c>
      <c r="AV90" s="59">
        <f t="shared" si="49"/>
        <v>8.6862570715521281E-2</v>
      </c>
      <c r="AW90" s="59">
        <f t="shared" si="50"/>
        <v>0.24680154866882931</v>
      </c>
      <c r="AX90" s="59">
        <f t="shared" si="51"/>
        <v>0.18945468996790948</v>
      </c>
      <c r="AY90" s="59">
        <f t="shared" si="52"/>
        <v>0.277837196352686</v>
      </c>
      <c r="AZ90" s="65">
        <f t="shared" si="53"/>
        <v>0.14381606957623463</v>
      </c>
    </row>
    <row r="91" spans="1:52" ht="38.25">
      <c r="A91" s="515" t="s">
        <v>146</v>
      </c>
      <c r="B91" s="495"/>
      <c r="C91" s="496">
        <v>34347</v>
      </c>
      <c r="D91" s="496"/>
      <c r="E91" s="496"/>
      <c r="F91" s="496"/>
      <c r="G91" s="496"/>
      <c r="H91" s="496"/>
      <c r="I91" s="496"/>
      <c r="J91" s="496"/>
      <c r="K91" s="496"/>
      <c r="L91" s="497"/>
      <c r="M91" s="463"/>
      <c r="O91" s="58">
        <f t="shared" si="29"/>
        <v>0</v>
      </c>
      <c r="P91" s="59">
        <f t="shared" si="30"/>
        <v>5.7333859799952714E-6</v>
      </c>
      <c r="Q91" s="59">
        <f t="shared" si="31"/>
        <v>0</v>
      </c>
      <c r="R91" s="59">
        <f t="shared" si="32"/>
        <v>0</v>
      </c>
      <c r="S91" s="59">
        <f t="shared" si="33"/>
        <v>0</v>
      </c>
      <c r="T91" s="59">
        <f t="shared" si="34"/>
        <v>0</v>
      </c>
      <c r="U91" s="59">
        <f t="shared" si="35"/>
        <v>0</v>
      </c>
      <c r="V91" s="59">
        <f t="shared" si="36"/>
        <v>0</v>
      </c>
      <c r="W91" s="59">
        <f t="shared" si="37"/>
        <v>0</v>
      </c>
      <c r="X91" s="59">
        <f t="shared" si="38"/>
        <v>0</v>
      </c>
      <c r="Y91" s="60">
        <f t="shared" si="39"/>
        <v>0</v>
      </c>
      <c r="Z91" s="60">
        <f t="shared" si="40"/>
        <v>5.2121690727229738E-7</v>
      </c>
      <c r="AB91" s="68"/>
      <c r="AC91" s="59" t="str">
        <f t="shared" si="41"/>
        <v/>
      </c>
      <c r="AD91" s="59">
        <f t="shared" si="41"/>
        <v>-1</v>
      </c>
      <c r="AE91" s="59" t="str">
        <f t="shared" si="41"/>
        <v/>
      </c>
      <c r="AF91" s="59" t="str">
        <f t="shared" si="41"/>
        <v/>
      </c>
      <c r="AG91" s="59" t="str">
        <f t="shared" si="28"/>
        <v/>
      </c>
      <c r="AH91" s="59" t="str">
        <f t="shared" si="28"/>
        <v/>
      </c>
      <c r="AI91" s="59" t="str">
        <f t="shared" si="28"/>
        <v/>
      </c>
      <c r="AJ91" s="59" t="str">
        <f t="shared" si="28"/>
        <v/>
      </c>
      <c r="AK91" s="59" t="str">
        <f t="shared" si="54"/>
        <v/>
      </c>
      <c r="AL91" s="60" t="str">
        <f t="shared" si="54"/>
        <v/>
      </c>
      <c r="AM91" s="65">
        <f t="shared" si="42"/>
        <v>-1</v>
      </c>
      <c r="AO91" s="68"/>
      <c r="AP91" s="59">
        <f t="shared" si="43"/>
        <v>0</v>
      </c>
      <c r="AQ91" s="59">
        <f t="shared" si="44"/>
        <v>-1</v>
      </c>
      <c r="AR91" s="59">
        <f t="shared" si="45"/>
        <v>0</v>
      </c>
      <c r="AS91" s="59">
        <f t="shared" si="46"/>
        <v>0</v>
      </c>
      <c r="AT91" s="59">
        <f t="shared" si="47"/>
        <v>0</v>
      </c>
      <c r="AU91" s="59">
        <f t="shared" si="48"/>
        <v>0</v>
      </c>
      <c r="AV91" s="59">
        <f t="shared" si="49"/>
        <v>0</v>
      </c>
      <c r="AW91" s="59">
        <f t="shared" si="50"/>
        <v>0</v>
      </c>
      <c r="AX91" s="59">
        <f t="shared" si="51"/>
        <v>0</v>
      </c>
      <c r="AY91" s="59">
        <f t="shared" si="52"/>
        <v>0</v>
      </c>
      <c r="AZ91" s="65">
        <f t="shared" si="53"/>
        <v>-0.1</v>
      </c>
    </row>
    <row r="92" spans="1:52" ht="51">
      <c r="A92" s="515" t="s">
        <v>147</v>
      </c>
      <c r="B92" s="495">
        <v>2396511</v>
      </c>
      <c r="C92" s="496">
        <v>9796598</v>
      </c>
      <c r="D92" s="496">
        <v>342751811</v>
      </c>
      <c r="E92" s="496">
        <v>18361685</v>
      </c>
      <c r="F92" s="496">
        <v>18102027</v>
      </c>
      <c r="G92" s="496">
        <v>11699223</v>
      </c>
      <c r="H92" s="496">
        <v>11604418</v>
      </c>
      <c r="I92" s="496">
        <v>11703196</v>
      </c>
      <c r="J92" s="496">
        <v>9861731</v>
      </c>
      <c r="K92" s="496">
        <v>8653038</v>
      </c>
      <c r="L92" s="497">
        <v>5696549</v>
      </c>
      <c r="M92" s="463"/>
      <c r="O92" s="58">
        <f t="shared" si="29"/>
        <v>6.2585792593942383E-4</v>
      </c>
      <c r="P92" s="59">
        <f t="shared" si="30"/>
        <v>1.6353008304902819E-3</v>
      </c>
      <c r="Q92" s="59">
        <f t="shared" si="31"/>
        <v>3.1789523065535286E-2</v>
      </c>
      <c r="R92" s="59">
        <f t="shared" si="32"/>
        <v>1.9493298082512811E-3</v>
      </c>
      <c r="S92" s="59">
        <f t="shared" si="33"/>
        <v>1.5293825391871536E-3</v>
      </c>
      <c r="T92" s="59">
        <f t="shared" si="34"/>
        <v>8.3395022399781137E-4</v>
      </c>
      <c r="U92" s="59">
        <f t="shared" si="35"/>
        <v>7.7805425665042609E-4</v>
      </c>
      <c r="V92" s="59">
        <f t="shared" si="36"/>
        <v>5.8272383982374673E-4</v>
      </c>
      <c r="W92" s="59">
        <f t="shared" si="37"/>
        <v>4.323235596887382E-4</v>
      </c>
      <c r="X92" s="59">
        <f t="shared" si="38"/>
        <v>3.1313500800474214E-4</v>
      </c>
      <c r="Y92" s="60">
        <f t="shared" si="39"/>
        <v>2.0859061506382326E-4</v>
      </c>
      <c r="Z92" s="60">
        <f t="shared" si="40"/>
        <v>3.6980156066029734E-3</v>
      </c>
      <c r="AB92" s="68"/>
      <c r="AC92" s="59">
        <f t="shared" si="41"/>
        <v>3.0878585577116064</v>
      </c>
      <c r="AD92" s="59">
        <f t="shared" si="41"/>
        <v>33.986820016499607</v>
      </c>
      <c r="AE92" s="59">
        <f t="shared" si="41"/>
        <v>-0.9464286273311624</v>
      </c>
      <c r="AF92" s="59">
        <f t="shared" si="41"/>
        <v>-1.4141294766792933E-2</v>
      </c>
      <c r="AG92" s="59">
        <f t="shared" si="28"/>
        <v>-0.35370646613221823</v>
      </c>
      <c r="AH92" s="59">
        <f t="shared" si="28"/>
        <v>-8.1035296104706722E-3</v>
      </c>
      <c r="AI92" s="59">
        <f t="shared" si="28"/>
        <v>8.5121028904679985E-3</v>
      </c>
      <c r="AJ92" s="59">
        <f t="shared" si="28"/>
        <v>-0.15734718960530103</v>
      </c>
      <c r="AK92" s="59">
        <f t="shared" si="54"/>
        <v>-0.12256397989359069</v>
      </c>
      <c r="AL92" s="60">
        <f t="shared" si="54"/>
        <v>-0.34167063637071748</v>
      </c>
      <c r="AM92" s="65">
        <f t="shared" si="42"/>
        <v>3.5139228953391424</v>
      </c>
      <c r="AO92" s="68"/>
      <c r="AP92" s="59">
        <f t="shared" si="43"/>
        <v>2.7589503978957302</v>
      </c>
      <c r="AQ92" s="59">
        <f t="shared" si="44"/>
        <v>31.500529509056761</v>
      </c>
      <c r="AR92" s="59">
        <f t="shared" si="45"/>
        <v>-0.94992861700267539</v>
      </c>
      <c r="AS92" s="59">
        <f t="shared" si="46"/>
        <v>-7.4224147588311529E-2</v>
      </c>
      <c r="AT92" s="59">
        <f t="shared" si="47"/>
        <v>-0.38738510855607522</v>
      </c>
      <c r="AU92" s="59">
        <f t="shared" si="48"/>
        <v>-5.4008505645775307E-2</v>
      </c>
      <c r="AV92" s="59">
        <f t="shared" si="49"/>
        <v>-3.4731907646948668E-2</v>
      </c>
      <c r="AW92" s="59">
        <f t="shared" si="50"/>
        <v>-0.2027128296010039</v>
      </c>
      <c r="AX92" s="59">
        <f t="shared" si="51"/>
        <v>-0.18506917423013902</v>
      </c>
      <c r="AY92" s="59">
        <f t="shared" si="52"/>
        <v>-0.35457905526540934</v>
      </c>
      <c r="AZ92" s="65">
        <f t="shared" si="53"/>
        <v>3.2016840561416151</v>
      </c>
    </row>
    <row r="93" spans="1:52" ht="38.25">
      <c r="A93" s="515" t="s">
        <v>148</v>
      </c>
      <c r="B93" s="495"/>
      <c r="C93" s="496"/>
      <c r="D93" s="496"/>
      <c r="E93" s="496"/>
      <c r="F93" s="496"/>
      <c r="G93" s="496"/>
      <c r="H93" s="496"/>
      <c r="I93" s="496"/>
      <c r="J93" s="496">
        <v>27260571</v>
      </c>
      <c r="K93" s="496">
        <v>44076648.600000001</v>
      </c>
      <c r="L93" s="497">
        <v>58501905.159999996</v>
      </c>
      <c r="M93" s="463"/>
      <c r="O93" s="58">
        <f t="shared" si="29"/>
        <v>0</v>
      </c>
      <c r="P93" s="59">
        <f t="shared" si="30"/>
        <v>0</v>
      </c>
      <c r="Q93" s="59">
        <f t="shared" si="31"/>
        <v>0</v>
      </c>
      <c r="R93" s="59">
        <f t="shared" si="32"/>
        <v>0</v>
      </c>
      <c r="S93" s="59">
        <f t="shared" si="33"/>
        <v>0</v>
      </c>
      <c r="T93" s="59">
        <f t="shared" si="34"/>
        <v>0</v>
      </c>
      <c r="U93" s="59">
        <f t="shared" si="35"/>
        <v>0</v>
      </c>
      <c r="V93" s="59">
        <f t="shared" si="36"/>
        <v>0</v>
      </c>
      <c r="W93" s="59">
        <f t="shared" si="37"/>
        <v>1.1950627221395094E-3</v>
      </c>
      <c r="X93" s="59">
        <f t="shared" si="38"/>
        <v>1.5950399977653173E-3</v>
      </c>
      <c r="Y93" s="60">
        <f t="shared" si="39"/>
        <v>2.1421650862179639E-3</v>
      </c>
      <c r="Z93" s="60">
        <f t="shared" si="40"/>
        <v>4.4838798237479914E-4</v>
      </c>
      <c r="AB93" s="68"/>
      <c r="AC93" s="59" t="str">
        <f t="shared" si="41"/>
        <v/>
      </c>
      <c r="AD93" s="59" t="str">
        <f t="shared" si="41"/>
        <v/>
      </c>
      <c r="AE93" s="59" t="str">
        <f t="shared" si="41"/>
        <v/>
      </c>
      <c r="AF93" s="59" t="str">
        <f t="shared" si="41"/>
        <v/>
      </c>
      <c r="AG93" s="59" t="str">
        <f t="shared" si="28"/>
        <v/>
      </c>
      <c r="AH93" s="59" t="str">
        <f t="shared" si="28"/>
        <v/>
      </c>
      <c r="AI93" s="59" t="str">
        <f t="shared" si="28"/>
        <v/>
      </c>
      <c r="AJ93" s="59" t="str">
        <f t="shared" si="28"/>
        <v/>
      </c>
      <c r="AK93" s="59">
        <f t="shared" si="54"/>
        <v>0.61686446699887543</v>
      </c>
      <c r="AL93" s="60">
        <f t="shared" si="54"/>
        <v>0.32727661966567934</v>
      </c>
      <c r="AM93" s="65">
        <f t="shared" si="42"/>
        <v>0.47207054333227738</v>
      </c>
      <c r="AO93" s="68"/>
      <c r="AP93" s="59">
        <f t="shared" si="43"/>
        <v>0</v>
      </c>
      <c r="AQ93" s="59">
        <f t="shared" si="44"/>
        <v>0</v>
      </c>
      <c r="AR93" s="59">
        <f t="shared" si="45"/>
        <v>0</v>
      </c>
      <c r="AS93" s="59">
        <f t="shared" si="46"/>
        <v>0</v>
      </c>
      <c r="AT93" s="59">
        <f t="shared" si="47"/>
        <v>0</v>
      </c>
      <c r="AU93" s="59">
        <f t="shared" si="48"/>
        <v>0</v>
      </c>
      <c r="AV93" s="59">
        <f t="shared" si="49"/>
        <v>0</v>
      </c>
      <c r="AW93" s="59">
        <f t="shared" si="50"/>
        <v>0</v>
      </c>
      <c r="AX93" s="59">
        <f t="shared" si="51"/>
        <v>0.50168521129272348</v>
      </c>
      <c r="AY93" s="59">
        <f t="shared" si="52"/>
        <v>0.30125158790752882</v>
      </c>
      <c r="AZ93" s="65">
        <f t="shared" si="53"/>
        <v>8.0293679920025229E-2</v>
      </c>
    </row>
    <row r="94" spans="1:52" ht="25.5">
      <c r="A94" s="515" t="s">
        <v>25</v>
      </c>
      <c r="B94" s="495">
        <v>246744798</v>
      </c>
      <c r="C94" s="496">
        <v>309706906</v>
      </c>
      <c r="D94" s="496">
        <v>1001118538</v>
      </c>
      <c r="E94" s="496">
        <v>782559428</v>
      </c>
      <c r="F94" s="496">
        <v>638064583</v>
      </c>
      <c r="G94" s="496">
        <v>340821761</v>
      </c>
      <c r="H94" s="496">
        <v>426888110</v>
      </c>
      <c r="I94" s="496">
        <v>476621304</v>
      </c>
      <c r="J94" s="496">
        <v>555726321</v>
      </c>
      <c r="K94" s="496">
        <v>703762248.78999996</v>
      </c>
      <c r="L94" s="497">
        <v>901018844.50999999</v>
      </c>
      <c r="M94" s="463"/>
      <c r="O94" s="58">
        <f t="shared" si="29"/>
        <v>6.4438338698475456E-2</v>
      </c>
      <c r="P94" s="59">
        <f t="shared" si="30"/>
        <v>5.1697942550095015E-2</v>
      </c>
      <c r="Q94" s="59">
        <f t="shared" si="31"/>
        <v>9.2851678193134224E-2</v>
      </c>
      <c r="R94" s="59">
        <f t="shared" si="32"/>
        <v>8.3078781698328455E-2</v>
      </c>
      <c r="S94" s="59">
        <f t="shared" si="33"/>
        <v>5.3908042017279736E-2</v>
      </c>
      <c r="T94" s="59">
        <f t="shared" si="34"/>
        <v>2.4294637680577467E-2</v>
      </c>
      <c r="U94" s="59">
        <f t="shared" si="35"/>
        <v>2.8622039562773014E-2</v>
      </c>
      <c r="V94" s="59">
        <f t="shared" si="36"/>
        <v>2.3731858922014234E-2</v>
      </c>
      <c r="W94" s="59">
        <f t="shared" si="37"/>
        <v>2.4362211999845299E-2</v>
      </c>
      <c r="X94" s="59">
        <f t="shared" si="38"/>
        <v>2.5467656262262106E-2</v>
      </c>
      <c r="Y94" s="60">
        <f t="shared" si="39"/>
        <v>3.2992619735288192E-2</v>
      </c>
      <c r="Z94" s="60">
        <f t="shared" si="40"/>
        <v>4.594961884727939E-2</v>
      </c>
      <c r="AB94" s="68"/>
      <c r="AC94" s="59">
        <f t="shared" si="41"/>
        <v>0.25517096413112639</v>
      </c>
      <c r="AD94" s="59">
        <f t="shared" si="41"/>
        <v>2.232470825174302</v>
      </c>
      <c r="AE94" s="59">
        <f t="shared" si="41"/>
        <v>-0.21831491646996148</v>
      </c>
      <c r="AF94" s="59">
        <f t="shared" si="41"/>
        <v>-0.18464392585402467</v>
      </c>
      <c r="AG94" s="59">
        <f t="shared" si="28"/>
        <v>-0.46585068333122004</v>
      </c>
      <c r="AH94" s="59">
        <f t="shared" si="28"/>
        <v>0.25252597940775257</v>
      </c>
      <c r="AI94" s="59">
        <f t="shared" si="28"/>
        <v>0.11650170814080529</v>
      </c>
      <c r="AJ94" s="59">
        <f t="shared" si="28"/>
        <v>0.16597037592763586</v>
      </c>
      <c r="AK94" s="59">
        <f t="shared" si="54"/>
        <v>0.26638278986609309</v>
      </c>
      <c r="AL94" s="60">
        <f t="shared" si="54"/>
        <v>0.28028868564511566</v>
      </c>
      <c r="AM94" s="65">
        <f t="shared" si="42"/>
        <v>0.27005018026376237</v>
      </c>
      <c r="AO94" s="68"/>
      <c r="AP94" s="59">
        <f t="shared" si="43"/>
        <v>0.15418019690218521</v>
      </c>
      <c r="AQ94" s="59">
        <f t="shared" si="44"/>
        <v>2.0027597075469594</v>
      </c>
      <c r="AR94" s="59">
        <f t="shared" si="45"/>
        <v>-0.26938491117857888</v>
      </c>
      <c r="AS94" s="59">
        <f t="shared" si="46"/>
        <v>-0.23433554874074991</v>
      </c>
      <c r="AT94" s="59">
        <f t="shared" si="47"/>
        <v>-0.49368544090550148</v>
      </c>
      <c r="AU94" s="59">
        <f t="shared" si="48"/>
        <v>0.19455906775443288</v>
      </c>
      <c r="AV94" s="59">
        <f t="shared" si="49"/>
        <v>6.8627209169989767E-2</v>
      </c>
      <c r="AW94" s="59">
        <f t="shared" si="50"/>
        <v>0.10319838766925526</v>
      </c>
      <c r="AX94" s="59">
        <f t="shared" si="51"/>
        <v>0.17617051162449449</v>
      </c>
      <c r="AY94" s="59">
        <f t="shared" si="52"/>
        <v>0.25518498592658401</v>
      </c>
      <c r="AZ94" s="65">
        <f t="shared" si="53"/>
        <v>0.19572741657690704</v>
      </c>
    </row>
    <row r="95" spans="1:52" ht="25.5">
      <c r="A95" s="515" t="s">
        <v>149</v>
      </c>
      <c r="B95" s="495">
        <v>84722</v>
      </c>
      <c r="C95" s="496">
        <v>189352</v>
      </c>
      <c r="D95" s="496">
        <v>262798</v>
      </c>
      <c r="E95" s="496">
        <v>328162</v>
      </c>
      <c r="F95" s="496">
        <v>813488</v>
      </c>
      <c r="G95" s="496">
        <v>375389</v>
      </c>
      <c r="H95" s="496">
        <v>997490</v>
      </c>
      <c r="I95" s="496">
        <v>1458337</v>
      </c>
      <c r="J95" s="496">
        <v>844408</v>
      </c>
      <c r="K95" s="496">
        <v>2846007</v>
      </c>
      <c r="L95" s="497">
        <v>551467</v>
      </c>
      <c r="M95" s="463"/>
      <c r="O95" s="58">
        <f t="shared" si="29"/>
        <v>2.2125471237745151E-5</v>
      </c>
      <c r="P95" s="59">
        <f t="shared" si="30"/>
        <v>3.1607654295398857E-5</v>
      </c>
      <c r="Q95" s="59">
        <f t="shared" si="31"/>
        <v>2.4373972111781323E-5</v>
      </c>
      <c r="R95" s="59">
        <f t="shared" si="32"/>
        <v>3.4838631015364704E-5</v>
      </c>
      <c r="S95" s="59">
        <f t="shared" si="33"/>
        <v>6.8729007145900244E-5</v>
      </c>
      <c r="T95" s="59">
        <f t="shared" si="34"/>
        <v>2.6758677959751208E-5</v>
      </c>
      <c r="U95" s="59">
        <f t="shared" si="35"/>
        <v>6.6879815986138516E-5</v>
      </c>
      <c r="V95" s="59">
        <f t="shared" si="36"/>
        <v>7.2613304638924551E-5</v>
      </c>
      <c r="W95" s="59">
        <f t="shared" si="37"/>
        <v>3.7017585694605548E-5</v>
      </c>
      <c r="X95" s="59">
        <f t="shared" si="38"/>
        <v>1.029909292813174E-4</v>
      </c>
      <c r="Y95" s="60">
        <f t="shared" si="39"/>
        <v>2.019307491560266E-5</v>
      </c>
      <c r="Z95" s="60">
        <f t="shared" si="40"/>
        <v>4.6193465843866381E-5</v>
      </c>
      <c r="AB95" s="68"/>
      <c r="AC95" s="59">
        <f t="shared" si="41"/>
        <v>1.234980288472888</v>
      </c>
      <c r="AD95" s="59">
        <f t="shared" si="41"/>
        <v>0.38788077231822204</v>
      </c>
      <c r="AE95" s="59">
        <f t="shared" si="41"/>
        <v>0.24872335405901103</v>
      </c>
      <c r="AF95" s="59">
        <f t="shared" si="41"/>
        <v>1.4789219958435162</v>
      </c>
      <c r="AG95" s="59">
        <f t="shared" si="28"/>
        <v>-0.53854389984855344</v>
      </c>
      <c r="AH95" s="59">
        <f t="shared" si="28"/>
        <v>1.657216913654902</v>
      </c>
      <c r="AI95" s="59">
        <f t="shared" si="28"/>
        <v>0.46200663665801156</v>
      </c>
      <c r="AJ95" s="59">
        <f t="shared" si="28"/>
        <v>-0.42097882725323432</v>
      </c>
      <c r="AK95" s="59">
        <f t="shared" si="54"/>
        <v>2.3704169074665327</v>
      </c>
      <c r="AL95" s="60">
        <f t="shared" si="54"/>
        <v>-0.80623132690819099</v>
      </c>
      <c r="AM95" s="65">
        <f t="shared" si="42"/>
        <v>0.60743928144631043</v>
      </c>
      <c r="AO95" s="68"/>
      <c r="AP95" s="59">
        <f t="shared" si="43"/>
        <v>1.0551542882509315</v>
      </c>
      <c r="AQ95" s="59">
        <f t="shared" si="44"/>
        <v>0.28925292365835764</v>
      </c>
      <c r="AR95" s="59">
        <f t="shared" si="45"/>
        <v>0.16714025054585568</v>
      </c>
      <c r="AS95" s="59">
        <f t="shared" si="46"/>
        <v>1.327844864159561</v>
      </c>
      <c r="AT95" s="59">
        <f t="shared" si="47"/>
        <v>-0.56259058169960152</v>
      </c>
      <c r="AU95" s="59">
        <f t="shared" si="48"/>
        <v>1.5342408951052726</v>
      </c>
      <c r="AV95" s="59">
        <f t="shared" si="49"/>
        <v>0.3993172249789545</v>
      </c>
      <c r="AW95" s="59">
        <f t="shared" si="50"/>
        <v>-0.45215141191525621</v>
      </c>
      <c r="AX95" s="59">
        <f t="shared" si="51"/>
        <v>2.1303212663383788</v>
      </c>
      <c r="AY95" s="59">
        <f t="shared" si="52"/>
        <v>-0.81003071265508919</v>
      </c>
      <c r="AZ95" s="65">
        <f t="shared" si="53"/>
        <v>0.50784990067673652</v>
      </c>
    </row>
    <row r="96" spans="1:52">
      <c r="A96" s="515" t="s">
        <v>150</v>
      </c>
      <c r="B96" s="495">
        <v>3772863</v>
      </c>
      <c r="C96" s="496">
        <v>3137624</v>
      </c>
      <c r="D96" s="496">
        <v>4068881</v>
      </c>
      <c r="E96" s="496">
        <v>21317169</v>
      </c>
      <c r="F96" s="496">
        <v>20411718</v>
      </c>
      <c r="G96" s="496">
        <v>6368724</v>
      </c>
      <c r="H96" s="496">
        <v>22233294</v>
      </c>
      <c r="I96" s="496">
        <v>59541239</v>
      </c>
      <c r="J96" s="496">
        <v>9508913</v>
      </c>
      <c r="K96" s="496">
        <v>42247347.509999998</v>
      </c>
      <c r="L96" s="497">
        <v>6727584.5800000001</v>
      </c>
      <c r="M96" s="463"/>
      <c r="O96" s="58">
        <f t="shared" si="29"/>
        <v>9.8529746453640001E-4</v>
      </c>
      <c r="P96" s="59">
        <f t="shared" si="30"/>
        <v>5.2374907421599219E-4</v>
      </c>
      <c r="Q96" s="59">
        <f t="shared" si="31"/>
        <v>3.7738031499538391E-4</v>
      </c>
      <c r="R96" s="59">
        <f t="shared" si="32"/>
        <v>2.2630925734337644E-3</v>
      </c>
      <c r="S96" s="59">
        <f t="shared" si="33"/>
        <v>1.7245209668515094E-3</v>
      </c>
      <c r="T96" s="59">
        <f t="shared" si="34"/>
        <v>4.5397876477610839E-4</v>
      </c>
      <c r="U96" s="59">
        <f t="shared" si="35"/>
        <v>1.4907002691613123E-3</v>
      </c>
      <c r="V96" s="59">
        <f t="shared" si="36"/>
        <v>2.9646687467204192E-3</v>
      </c>
      <c r="W96" s="59">
        <f t="shared" si="37"/>
        <v>4.1685654546149342E-4</v>
      </c>
      <c r="X96" s="59">
        <f t="shared" si="38"/>
        <v>1.528841489049623E-3</v>
      </c>
      <c r="Y96" s="60">
        <f t="shared" si="39"/>
        <v>2.4634405943600116E-4</v>
      </c>
      <c r="Z96" s="60">
        <f t="shared" si="40"/>
        <v>1.1795845698761827E-3</v>
      </c>
      <c r="AB96" s="68"/>
      <c r="AC96" s="59">
        <f t="shared" si="41"/>
        <v>-0.16837054512713556</v>
      </c>
      <c r="AD96" s="59">
        <f t="shared" si="41"/>
        <v>0.29680324984765538</v>
      </c>
      <c r="AE96" s="59">
        <f t="shared" si="41"/>
        <v>4.2390740844964503</v>
      </c>
      <c r="AF96" s="59">
        <f t="shared" si="41"/>
        <v>-4.2475199216181148E-2</v>
      </c>
      <c r="AG96" s="59">
        <f t="shared" si="28"/>
        <v>-0.68798687107082312</v>
      </c>
      <c r="AH96" s="59">
        <f t="shared" si="28"/>
        <v>2.4910123283722139</v>
      </c>
      <c r="AI96" s="59">
        <f t="shared" si="28"/>
        <v>1.6780214843558494</v>
      </c>
      <c r="AJ96" s="59">
        <f t="shared" si="28"/>
        <v>-0.84029702505854809</v>
      </c>
      <c r="AK96" s="59">
        <f t="shared" si="54"/>
        <v>3.4429208165013181</v>
      </c>
      <c r="AL96" s="60">
        <f t="shared" si="54"/>
        <v>-0.840757231482815</v>
      </c>
      <c r="AM96" s="65">
        <f t="shared" si="42"/>
        <v>0.95679450916179842</v>
      </c>
      <c r="AO96" s="68"/>
      <c r="AP96" s="59">
        <f t="shared" si="43"/>
        <v>-0.23528325988702115</v>
      </c>
      <c r="AQ96" s="59">
        <f t="shared" si="44"/>
        <v>0.20464770074097105</v>
      </c>
      <c r="AR96" s="59">
        <f t="shared" si="45"/>
        <v>3.8967885638811568</v>
      </c>
      <c r="AS96" s="59">
        <f t="shared" si="46"/>
        <v>-0.10083125102467938</v>
      </c>
      <c r="AT96" s="59">
        <f t="shared" si="47"/>
        <v>-0.70424601347298776</v>
      </c>
      <c r="AU96" s="59">
        <f t="shared" si="48"/>
        <v>2.3294482518210131</v>
      </c>
      <c r="AV96" s="59">
        <f t="shared" si="49"/>
        <v>1.5631905478137917</v>
      </c>
      <c r="AW96" s="59">
        <f t="shared" si="50"/>
        <v>-0.84889490496598363</v>
      </c>
      <c r="AX96" s="59">
        <f t="shared" si="51"/>
        <v>3.1264240888839216</v>
      </c>
      <c r="AY96" s="59">
        <f t="shared" si="52"/>
        <v>-0.84387963870864213</v>
      </c>
      <c r="AZ96" s="65">
        <f t="shared" si="53"/>
        <v>0.83873640850815401</v>
      </c>
    </row>
    <row r="97" spans="1:52" ht="25.5">
      <c r="A97" s="515" t="s">
        <v>151</v>
      </c>
      <c r="B97" s="495">
        <v>71735</v>
      </c>
      <c r="C97" s="496">
        <v>331687</v>
      </c>
      <c r="D97" s="496">
        <v>183734</v>
      </c>
      <c r="E97" s="496">
        <v>675942</v>
      </c>
      <c r="F97" s="496">
        <v>245075</v>
      </c>
      <c r="G97" s="496">
        <v>541358</v>
      </c>
      <c r="H97" s="496">
        <v>10204160</v>
      </c>
      <c r="I97" s="496">
        <v>8603300</v>
      </c>
      <c r="J97" s="496">
        <v>52215</v>
      </c>
      <c r="K97" s="496">
        <v>44413</v>
      </c>
      <c r="L97" s="497">
        <v>67640</v>
      </c>
      <c r="M97" s="463"/>
      <c r="O97" s="58">
        <f t="shared" si="29"/>
        <v>1.873386699133222E-5</v>
      </c>
      <c r="P97" s="59">
        <f t="shared" si="30"/>
        <v>5.5366978063490019E-5</v>
      </c>
      <c r="Q97" s="59">
        <f t="shared" si="31"/>
        <v>1.7040949291798373E-5</v>
      </c>
      <c r="R97" s="59">
        <f t="shared" si="32"/>
        <v>7.175996588815173E-5</v>
      </c>
      <c r="S97" s="59">
        <f t="shared" si="33"/>
        <v>2.0705605277867038E-5</v>
      </c>
      <c r="T97" s="59">
        <f t="shared" si="34"/>
        <v>3.8589368316426416E-5</v>
      </c>
      <c r="U97" s="59">
        <f t="shared" si="35"/>
        <v>6.8416960881123134E-4</v>
      </c>
      <c r="V97" s="59">
        <f t="shared" si="36"/>
        <v>4.2837426726474032E-4</v>
      </c>
      <c r="W97" s="59">
        <f t="shared" si="37"/>
        <v>2.2890276229545774E-6</v>
      </c>
      <c r="X97" s="59">
        <f t="shared" si="38"/>
        <v>1.607211838260113E-6</v>
      </c>
      <c r="Y97" s="60">
        <f t="shared" si="39"/>
        <v>2.4767748338365922E-6</v>
      </c>
      <c r="Z97" s="60">
        <f t="shared" si="40"/>
        <v>1.2191942038182626E-4</v>
      </c>
      <c r="AB97" s="68"/>
      <c r="AC97" s="59">
        <f t="shared" si="41"/>
        <v>3.6237819753258522</v>
      </c>
      <c r="AD97" s="59">
        <f t="shared" si="41"/>
        <v>-0.44606210071543351</v>
      </c>
      <c r="AE97" s="59">
        <f t="shared" si="41"/>
        <v>2.678916259374966</v>
      </c>
      <c r="AF97" s="59">
        <f t="shared" si="41"/>
        <v>-0.63743190983841802</v>
      </c>
      <c r="AG97" s="59">
        <f t="shared" si="28"/>
        <v>1.2089482811384271</v>
      </c>
      <c r="AH97" s="59">
        <f t="shared" si="28"/>
        <v>17.849190369404351</v>
      </c>
      <c r="AI97" s="59">
        <f t="shared" si="28"/>
        <v>-0.15688307513798294</v>
      </c>
      <c r="AJ97" s="59">
        <f t="shared" si="28"/>
        <v>-0.99393081724454568</v>
      </c>
      <c r="AK97" s="59">
        <f t="shared" si="54"/>
        <v>-0.14942066455999237</v>
      </c>
      <c r="AL97" s="60">
        <f t="shared" si="54"/>
        <v>0.52297750658590947</v>
      </c>
      <c r="AM97" s="65">
        <f t="shared" si="42"/>
        <v>2.350008582433313</v>
      </c>
      <c r="AO97" s="68"/>
      <c r="AP97" s="59">
        <f t="shared" si="43"/>
        <v>3.2517535405295197</v>
      </c>
      <c r="AQ97" s="59">
        <f t="shared" si="44"/>
        <v>-0.48542693981926011</v>
      </c>
      <c r="AR97" s="59">
        <f t="shared" si="45"/>
        <v>2.4385608555705822</v>
      </c>
      <c r="AS97" s="59">
        <f t="shared" si="46"/>
        <v>-0.6595285095674881</v>
      </c>
      <c r="AT97" s="59">
        <f t="shared" si="47"/>
        <v>1.0938390074187336</v>
      </c>
      <c r="AU97" s="59">
        <f t="shared" si="48"/>
        <v>16.97684969875694</v>
      </c>
      <c r="AV97" s="59">
        <f t="shared" si="49"/>
        <v>-0.19303510254401124</v>
      </c>
      <c r="AW97" s="59">
        <f t="shared" si="50"/>
        <v>-0.99425756196853599</v>
      </c>
      <c r="AX97" s="59">
        <f t="shared" si="51"/>
        <v>-0.21001269114887378</v>
      </c>
      <c r="AY97" s="59">
        <f t="shared" si="52"/>
        <v>0.49311520253520524</v>
      </c>
      <c r="AZ97" s="65">
        <f t="shared" si="53"/>
        <v>2.171185749976281</v>
      </c>
    </row>
    <row r="98" spans="1:52" ht="38.25">
      <c r="A98" s="515" t="s">
        <v>152</v>
      </c>
      <c r="B98" s="495">
        <v>3785850</v>
      </c>
      <c r="C98" s="496">
        <v>2995289</v>
      </c>
      <c r="D98" s="496">
        <v>4147945</v>
      </c>
      <c r="E98" s="496">
        <v>20969389</v>
      </c>
      <c r="F98" s="496">
        <v>20980131</v>
      </c>
      <c r="G98" s="496">
        <v>6202755</v>
      </c>
      <c r="H98" s="496">
        <v>13026624</v>
      </c>
      <c r="I98" s="496">
        <v>52396276</v>
      </c>
      <c r="J98" s="496">
        <v>10301106</v>
      </c>
      <c r="K98" s="496">
        <v>45048941.509999998</v>
      </c>
      <c r="L98" s="497">
        <v>7211411.5800000001</v>
      </c>
      <c r="M98" s="463"/>
      <c r="O98" s="58">
        <f t="shared" si="29"/>
        <v>9.8868906878281284E-4</v>
      </c>
      <c r="P98" s="59">
        <f t="shared" si="30"/>
        <v>4.9998975044790103E-4</v>
      </c>
      <c r="Q98" s="59">
        <f t="shared" si="31"/>
        <v>3.8471333781536684E-4</v>
      </c>
      <c r="R98" s="59">
        <f t="shared" si="32"/>
        <v>2.2261712385609773E-3</v>
      </c>
      <c r="S98" s="59">
        <f t="shared" si="33"/>
        <v>1.7725443687195426E-3</v>
      </c>
      <c r="T98" s="59">
        <f t="shared" si="34"/>
        <v>4.4214807441943319E-4</v>
      </c>
      <c r="U98" s="59">
        <f t="shared" si="35"/>
        <v>8.7341047633621952E-4</v>
      </c>
      <c r="V98" s="59">
        <f t="shared" si="36"/>
        <v>2.6089077840946032E-3</v>
      </c>
      <c r="W98" s="59">
        <f t="shared" si="37"/>
        <v>4.5158510353314436E-4</v>
      </c>
      <c r="X98" s="59">
        <f t="shared" si="38"/>
        <v>1.6302252064926803E-3</v>
      </c>
      <c r="Y98" s="60">
        <f t="shared" si="39"/>
        <v>2.6406035951776727E-4</v>
      </c>
      <c r="Z98" s="60">
        <f t="shared" si="40"/>
        <v>1.1038586153382225E-3</v>
      </c>
      <c r="AB98" s="68"/>
      <c r="AC98" s="59">
        <f t="shared" si="41"/>
        <v>-0.20881994796412962</v>
      </c>
      <c r="AD98" s="59">
        <f t="shared" si="41"/>
        <v>0.38482296699917762</v>
      </c>
      <c r="AE98" s="59">
        <f t="shared" si="41"/>
        <v>4.0553681401272197</v>
      </c>
      <c r="AF98" s="59">
        <f t="shared" si="41"/>
        <v>5.1227052919844418E-4</v>
      </c>
      <c r="AG98" s="59">
        <f t="shared" si="28"/>
        <v>-0.70435098808486951</v>
      </c>
      <c r="AH98" s="59">
        <f t="shared" si="28"/>
        <v>1.1001351818667673</v>
      </c>
      <c r="AI98" s="59">
        <f t="shared" si="28"/>
        <v>3.0222452110385625</v>
      </c>
      <c r="AJ98" s="59">
        <f t="shared" si="28"/>
        <v>-0.80340003552924255</v>
      </c>
      <c r="AK98" s="59">
        <f t="shared" si="54"/>
        <v>3.3732140519668468</v>
      </c>
      <c r="AL98" s="60">
        <f t="shared" si="54"/>
        <v>-0.83992051004352219</v>
      </c>
      <c r="AM98" s="65">
        <f t="shared" si="42"/>
        <v>0.93798063409060095</v>
      </c>
      <c r="AO98" s="68"/>
      <c r="AP98" s="59">
        <f t="shared" si="43"/>
        <v>-0.27247811307046399</v>
      </c>
      <c r="AQ98" s="59">
        <f t="shared" si="44"/>
        <v>0.28641241709166532</v>
      </c>
      <c r="AR98" s="59">
        <f t="shared" si="45"/>
        <v>3.7250847183168698</v>
      </c>
      <c r="AS98" s="59">
        <f t="shared" si="46"/>
        <v>-6.0463639281436277E-2</v>
      </c>
      <c r="AT98" s="59">
        <f t="shared" si="47"/>
        <v>-0.7197573890984581</v>
      </c>
      <c r="AU98" s="59">
        <f t="shared" si="48"/>
        <v>1.0029409100123328</v>
      </c>
      <c r="AV98" s="59">
        <f t="shared" si="49"/>
        <v>2.8497752785591142</v>
      </c>
      <c r="AW98" s="59">
        <f t="shared" si="50"/>
        <v>-0.81398432730555637</v>
      </c>
      <c r="AX98" s="59">
        <f t="shared" si="51"/>
        <v>3.0616829682983626</v>
      </c>
      <c r="AY98" s="59">
        <f t="shared" si="52"/>
        <v>-0.84305932357208058</v>
      </c>
      <c r="AZ98" s="65">
        <f t="shared" si="53"/>
        <v>0.82161534999503483</v>
      </c>
    </row>
    <row r="99" spans="1:52" ht="25.5">
      <c r="A99" s="515" t="s">
        <v>153</v>
      </c>
      <c r="B99" s="495">
        <v>13867307</v>
      </c>
      <c r="C99" s="496">
        <v>42054605</v>
      </c>
      <c r="D99" s="496">
        <v>72808816</v>
      </c>
      <c r="E99" s="496">
        <v>76477376</v>
      </c>
      <c r="F99" s="496">
        <v>4307865</v>
      </c>
      <c r="G99" s="496">
        <v>-7535212</v>
      </c>
      <c r="H99" s="496">
        <v>30027903</v>
      </c>
      <c r="I99" s="496">
        <v>89364976</v>
      </c>
      <c r="J99" s="496">
        <v>131891260</v>
      </c>
      <c r="K99" s="496">
        <v>92502752</v>
      </c>
      <c r="L99" s="497">
        <v>267867905.59999999</v>
      </c>
      <c r="M99" s="463"/>
      <c r="O99" s="58">
        <f t="shared" si="29"/>
        <v>3.621499754178159E-3</v>
      </c>
      <c r="P99" s="59">
        <f t="shared" si="30"/>
        <v>7.0199808629935381E-3</v>
      </c>
      <c r="Q99" s="59">
        <f t="shared" si="31"/>
        <v>6.752867414043553E-3</v>
      </c>
      <c r="R99" s="59">
        <f t="shared" si="32"/>
        <v>8.1190603527748744E-3</v>
      </c>
      <c r="S99" s="59">
        <f t="shared" si="33"/>
        <v>3.6395777733485137E-4</v>
      </c>
      <c r="T99" s="59">
        <f t="shared" si="34"/>
        <v>-5.3712898158031486E-4</v>
      </c>
      <c r="U99" s="59">
        <f t="shared" si="35"/>
        <v>2.0133140453434287E-3</v>
      </c>
      <c r="V99" s="59">
        <f t="shared" si="36"/>
        <v>4.4496479389456497E-3</v>
      </c>
      <c r="W99" s="59">
        <f t="shared" si="37"/>
        <v>5.7819158741029223E-3</v>
      </c>
      <c r="X99" s="59">
        <f t="shared" si="38"/>
        <v>3.3474774972652005E-3</v>
      </c>
      <c r="Y99" s="60">
        <f t="shared" si="39"/>
        <v>9.8085228767385568E-3</v>
      </c>
      <c r="Z99" s="60">
        <f t="shared" si="40"/>
        <v>4.6128286738309479E-3</v>
      </c>
      <c r="AB99" s="68"/>
      <c r="AC99" s="59">
        <f t="shared" si="41"/>
        <v>2.0326439733395967</v>
      </c>
      <c r="AD99" s="59">
        <f t="shared" si="41"/>
        <v>0.73129235193149489</v>
      </c>
      <c r="AE99" s="59">
        <f t="shared" si="41"/>
        <v>5.0386205978133258E-2</v>
      </c>
      <c r="AF99" s="59">
        <f t="shared" si="41"/>
        <v>-0.94367138067080125</v>
      </c>
      <c r="AG99" s="59">
        <f t="shared" si="28"/>
        <v>-2.7491755196599708</v>
      </c>
      <c r="AH99" s="59">
        <f t="shared" si="28"/>
        <v>-4.9850110388400486</v>
      </c>
      <c r="AI99" s="59">
        <f t="shared" si="28"/>
        <v>1.97606449574584</v>
      </c>
      <c r="AJ99" s="59">
        <f t="shared" si="28"/>
        <v>0.47587193443659626</v>
      </c>
      <c r="AK99" s="59">
        <f t="shared" si="54"/>
        <v>-0.29864380702709181</v>
      </c>
      <c r="AL99" s="60">
        <f t="shared" si="54"/>
        <v>1.8957830962693953</v>
      </c>
      <c r="AM99" s="65">
        <f t="shared" si="42"/>
        <v>-0.18144596884968558</v>
      </c>
      <c r="AO99" s="68"/>
      <c r="AP99" s="59">
        <f t="shared" si="43"/>
        <v>1.7886381364042272</v>
      </c>
      <c r="AQ99" s="59">
        <f t="shared" si="44"/>
        <v>0.60826042910496514</v>
      </c>
      <c r="AR99" s="59">
        <f t="shared" si="45"/>
        <v>-1.8238895244290898E-2</v>
      </c>
      <c r="AS99" s="59">
        <f t="shared" si="46"/>
        <v>-0.94710431089379399</v>
      </c>
      <c r="AT99" s="59">
        <f t="shared" si="47"/>
        <v>-2.6580252082671851</v>
      </c>
      <c r="AU99" s="59">
        <f t="shared" si="48"/>
        <v>-4.8005846982900744</v>
      </c>
      <c r="AV99" s="59">
        <f t="shared" si="49"/>
        <v>1.8484537669849157</v>
      </c>
      <c r="AW99" s="59">
        <f t="shared" si="50"/>
        <v>0.39641587135641632</v>
      </c>
      <c r="AX99" s="59">
        <f t="shared" si="51"/>
        <v>-0.34860574628688756</v>
      </c>
      <c r="AY99" s="59">
        <f t="shared" si="52"/>
        <v>1.8390030355582305</v>
      </c>
      <c r="AZ99" s="65">
        <f t="shared" si="53"/>
        <v>-0.22917876195734768</v>
      </c>
    </row>
    <row r="100" spans="1:52" ht="38.25">
      <c r="A100" s="515" t="s">
        <v>154</v>
      </c>
      <c r="B100" s="495">
        <v>375407903</v>
      </c>
      <c r="C100" s="496">
        <v>562505886</v>
      </c>
      <c r="D100" s="496">
        <v>823409522</v>
      </c>
      <c r="E100" s="496">
        <v>978714347</v>
      </c>
      <c r="F100" s="496">
        <v>1182137368</v>
      </c>
      <c r="G100" s="496">
        <v>1369728325</v>
      </c>
      <c r="H100" s="496">
        <v>1607719433</v>
      </c>
      <c r="I100" s="496">
        <v>1924207418</v>
      </c>
      <c r="J100" s="496">
        <v>2106895724</v>
      </c>
      <c r="K100" s="496">
        <v>2495249354.6100001</v>
      </c>
      <c r="L100" s="497">
        <v>2622718910</v>
      </c>
      <c r="M100" s="463"/>
      <c r="O100" s="58">
        <f t="shared" si="29"/>
        <v>9.8039195961482514E-2</v>
      </c>
      <c r="P100" s="59">
        <f t="shared" si="30"/>
        <v>9.3896508005276103E-2</v>
      </c>
      <c r="Q100" s="59">
        <f t="shared" si="31"/>
        <v>7.6369533732384531E-2</v>
      </c>
      <c r="R100" s="59">
        <f t="shared" si="32"/>
        <v>0.10390315760074785</v>
      </c>
      <c r="S100" s="59">
        <f t="shared" si="33"/>
        <v>9.9875016733753555E-2</v>
      </c>
      <c r="T100" s="59">
        <f t="shared" si="34"/>
        <v>9.7637701533674251E-2</v>
      </c>
      <c r="U100" s="59">
        <f t="shared" si="35"/>
        <v>0.1077945441421758</v>
      </c>
      <c r="V100" s="59">
        <f t="shared" si="36"/>
        <v>9.5809857002676635E-2</v>
      </c>
      <c r="W100" s="59">
        <f t="shared" si="37"/>
        <v>9.2363162135801646E-2</v>
      </c>
      <c r="X100" s="59">
        <f t="shared" si="38"/>
        <v>9.0297757461556286E-2</v>
      </c>
      <c r="Y100" s="60">
        <f t="shared" si="39"/>
        <v>9.6036135312172352E-2</v>
      </c>
      <c r="Z100" s="60">
        <f t="shared" si="40"/>
        <v>9.5638415420154693E-2</v>
      </c>
      <c r="AB100" s="68"/>
      <c r="AC100" s="59">
        <f t="shared" si="41"/>
        <v>0.49838583978878037</v>
      </c>
      <c r="AD100" s="59">
        <f t="shared" si="41"/>
        <v>0.46382383276963601</v>
      </c>
      <c r="AE100" s="59">
        <f t="shared" si="41"/>
        <v>0.18861188855671251</v>
      </c>
      <c r="AF100" s="59">
        <f t="shared" si="41"/>
        <v>0.20784718403642644</v>
      </c>
      <c r="AG100" s="59">
        <f t="shared" si="28"/>
        <v>0.15868795122970858</v>
      </c>
      <c r="AH100" s="59">
        <f t="shared" si="28"/>
        <v>0.17375059247606628</v>
      </c>
      <c r="AI100" s="59">
        <f t="shared" si="28"/>
        <v>0.19685523388209236</v>
      </c>
      <c r="AJ100" s="59">
        <f t="shared" si="28"/>
        <v>9.4942106703800322E-2</v>
      </c>
      <c r="AK100" s="59">
        <f t="shared" si="54"/>
        <v>0.18432503620668039</v>
      </c>
      <c r="AL100" s="60">
        <f t="shared" si="54"/>
        <v>5.108489664750282E-2</v>
      </c>
      <c r="AM100" s="65">
        <f t="shared" si="42"/>
        <v>0.2218314562297406</v>
      </c>
      <c r="AO100" s="68"/>
      <c r="AP100" s="59">
        <f t="shared" si="43"/>
        <v>0.37782605957589022</v>
      </c>
      <c r="AQ100" s="59">
        <f t="shared" si="44"/>
        <v>0.35979919439817554</v>
      </c>
      <c r="AR100" s="59">
        <f t="shared" si="45"/>
        <v>0.11095605996514846</v>
      </c>
      <c r="AS100" s="59">
        <f t="shared" si="46"/>
        <v>0.13423531227009722</v>
      </c>
      <c r="AT100" s="59">
        <f t="shared" si="47"/>
        <v>9.8308208674091402E-2</v>
      </c>
      <c r="AU100" s="59">
        <f t="shared" si="48"/>
        <v>0.119429406316508</v>
      </c>
      <c r="AV100" s="59">
        <f t="shared" si="49"/>
        <v>0.14553525448132887</v>
      </c>
      <c r="AW100" s="59">
        <f t="shared" si="50"/>
        <v>3.5994045514050832E-2</v>
      </c>
      <c r="AX100" s="59">
        <f t="shared" si="51"/>
        <v>9.9958239255763415E-2</v>
      </c>
      <c r="AY100" s="59">
        <f t="shared" si="52"/>
        <v>3.0475388870100817E-2</v>
      </c>
      <c r="AZ100" s="65">
        <f t="shared" si="53"/>
        <v>0.15125171693211548</v>
      </c>
    </row>
    <row r="101" spans="1:52" ht="25.5">
      <c r="A101" s="515" t="s">
        <v>155</v>
      </c>
      <c r="B101" s="495">
        <v>2394528</v>
      </c>
      <c r="C101" s="496">
        <v>69402</v>
      </c>
      <c r="D101" s="496">
        <v>280156</v>
      </c>
      <c r="E101" s="496">
        <v>1832474</v>
      </c>
      <c r="F101" s="496">
        <v>452916</v>
      </c>
      <c r="G101" s="496">
        <v>1822290</v>
      </c>
      <c r="H101" s="496">
        <v>1851671</v>
      </c>
      <c r="I101" s="496">
        <v>6089784</v>
      </c>
      <c r="J101" s="496">
        <v>42712855</v>
      </c>
      <c r="K101" s="496">
        <v>23097556.859999999</v>
      </c>
      <c r="L101" s="497">
        <v>30343272.859999999</v>
      </c>
      <c r="M101" s="463"/>
      <c r="O101" s="58">
        <f t="shared" si="29"/>
        <v>6.2534005797756681E-4</v>
      </c>
      <c r="P101" s="59">
        <f t="shared" si="30"/>
        <v>1.1584955128064512E-5</v>
      </c>
      <c r="Q101" s="59">
        <f t="shared" si="31"/>
        <v>2.5983890786643004E-5</v>
      </c>
      <c r="R101" s="59">
        <f t="shared" si="32"/>
        <v>1.9454076197502885E-4</v>
      </c>
      <c r="S101" s="59">
        <f t="shared" si="33"/>
        <v>3.8265428624014801E-5</v>
      </c>
      <c r="T101" s="59">
        <f t="shared" si="34"/>
        <v>1.2989744307711476E-4</v>
      </c>
      <c r="U101" s="59">
        <f t="shared" si="35"/>
        <v>1.2415103484432835E-4</v>
      </c>
      <c r="V101" s="59">
        <f t="shared" si="36"/>
        <v>3.0322164271855443E-4</v>
      </c>
      <c r="W101" s="59">
        <f t="shared" si="37"/>
        <v>1.872467776505861E-3</v>
      </c>
      <c r="X101" s="59">
        <f t="shared" si="38"/>
        <v>8.3585136829932862E-4</v>
      </c>
      <c r="Y101" s="60">
        <f t="shared" si="39"/>
        <v>1.1110800502052761E-3</v>
      </c>
      <c r="Z101" s="60">
        <f t="shared" si="40"/>
        <v>4.7930767364925286E-4</v>
      </c>
      <c r="AB101" s="68"/>
      <c r="AC101" s="59">
        <f t="shared" si="41"/>
        <v>-0.97101641743174438</v>
      </c>
      <c r="AD101" s="59">
        <f t="shared" si="41"/>
        <v>3.0367136393763872</v>
      </c>
      <c r="AE101" s="59">
        <f t="shared" si="41"/>
        <v>5.5409057810648354</v>
      </c>
      <c r="AF101" s="59">
        <f t="shared" si="41"/>
        <v>-0.75283905801664852</v>
      </c>
      <c r="AG101" s="59">
        <f t="shared" si="28"/>
        <v>3.0234613040828764</v>
      </c>
      <c r="AH101" s="59">
        <f t="shared" si="28"/>
        <v>1.6123119810787623E-2</v>
      </c>
      <c r="AI101" s="59">
        <f t="shared" si="28"/>
        <v>2.2888045446518306</v>
      </c>
      <c r="AJ101" s="59">
        <f t="shared" si="28"/>
        <v>6.0138538575424025</v>
      </c>
      <c r="AK101" s="59">
        <f t="shared" si="54"/>
        <v>-0.45923640880479655</v>
      </c>
      <c r="AL101" s="60">
        <f t="shared" si="54"/>
        <v>0.31370053741692572</v>
      </c>
      <c r="AM101" s="65">
        <f t="shared" si="42"/>
        <v>1.8050470899692854</v>
      </c>
      <c r="AO101" s="68"/>
      <c r="AP101" s="59">
        <f t="shared" si="43"/>
        <v>-0.97334842982229364</v>
      </c>
      <c r="AQ101" s="59">
        <f t="shared" si="44"/>
        <v>2.7498501062483856</v>
      </c>
      <c r="AR101" s="59">
        <f t="shared" si="45"/>
        <v>5.1135674185109217</v>
      </c>
      <c r="AS101" s="59">
        <f t="shared" si="46"/>
        <v>-0.76790220491750261</v>
      </c>
      <c r="AT101" s="59">
        <f t="shared" si="47"/>
        <v>2.8137969527230595</v>
      </c>
      <c r="AU101" s="59">
        <f t="shared" si="48"/>
        <v>-3.0903065740124913E-2</v>
      </c>
      <c r="AV101" s="59">
        <f t="shared" si="49"/>
        <v>2.1477838291078011</v>
      </c>
      <c r="AW101" s="59">
        <f t="shared" si="50"/>
        <v>5.6362511661863968</v>
      </c>
      <c r="AX101" s="59">
        <f t="shared" si="51"/>
        <v>-0.49775834383281925</v>
      </c>
      <c r="AY101" s="59">
        <f t="shared" si="52"/>
        <v>0.28794170334992719</v>
      </c>
      <c r="AZ101" s="65">
        <f t="shared" si="53"/>
        <v>1.6479279131813751</v>
      </c>
    </row>
    <row r="102" spans="1:52" ht="38.25">
      <c r="A102" s="515" t="s">
        <v>156</v>
      </c>
      <c r="B102" s="495">
        <v>391669739</v>
      </c>
      <c r="C102" s="496">
        <v>604629893</v>
      </c>
      <c r="D102" s="496">
        <v>896498494</v>
      </c>
      <c r="E102" s="496">
        <v>1057024197</v>
      </c>
      <c r="F102" s="496">
        <v>1186898149</v>
      </c>
      <c r="G102" s="496">
        <v>1364015403</v>
      </c>
      <c r="H102" s="496">
        <v>1639599007</v>
      </c>
      <c r="I102" s="496">
        <v>2019662178</v>
      </c>
      <c r="J102" s="496">
        <v>2281499839</v>
      </c>
      <c r="K102" s="496">
        <v>2610849663.4699998</v>
      </c>
      <c r="L102" s="497">
        <v>2921321773.46</v>
      </c>
      <c r="M102" s="463"/>
      <c r="O102" s="58">
        <f t="shared" si="29"/>
        <v>0.10228603603479203</v>
      </c>
      <c r="P102" s="59">
        <f t="shared" si="30"/>
        <v>0.1009280738233977</v>
      </c>
      <c r="Q102" s="59">
        <f t="shared" si="31"/>
        <v>8.3148385037214723E-2</v>
      </c>
      <c r="R102" s="59">
        <f t="shared" si="32"/>
        <v>0.11221675871549774</v>
      </c>
      <c r="S102" s="59">
        <f t="shared" si="33"/>
        <v>0.10027723993971241</v>
      </c>
      <c r="T102" s="59">
        <f t="shared" si="34"/>
        <v>9.7230469995171043E-2</v>
      </c>
      <c r="U102" s="59">
        <f t="shared" si="35"/>
        <v>0.10993200922236356</v>
      </c>
      <c r="V102" s="59">
        <f t="shared" si="36"/>
        <v>0.10056272658434084</v>
      </c>
      <c r="W102" s="59">
        <f t="shared" si="37"/>
        <v>0.10001754578641044</v>
      </c>
      <c r="X102" s="59">
        <f t="shared" si="38"/>
        <v>9.4481086327120795E-2</v>
      </c>
      <c r="Y102" s="60">
        <f t="shared" si="39"/>
        <v>0.1069700805742846</v>
      </c>
      <c r="Z102" s="60">
        <f t="shared" si="40"/>
        <v>0.1007318556400278</v>
      </c>
      <c r="AB102" s="68"/>
      <c r="AC102" s="59">
        <f t="shared" si="41"/>
        <v>0.54372378765774387</v>
      </c>
      <c r="AD102" s="59">
        <f t="shared" si="41"/>
        <v>0.48272274391170411</v>
      </c>
      <c r="AE102" s="59">
        <f t="shared" si="41"/>
        <v>0.17905853057685106</v>
      </c>
      <c r="AF102" s="59">
        <f t="shared" si="41"/>
        <v>0.12286752977708804</v>
      </c>
      <c r="AG102" s="59">
        <f t="shared" si="28"/>
        <v>0.14922700330203309</v>
      </c>
      <c r="AH102" s="59">
        <f t="shared" si="28"/>
        <v>0.20203848387187162</v>
      </c>
      <c r="AI102" s="59">
        <f t="shared" si="28"/>
        <v>0.23180251352762626</v>
      </c>
      <c r="AJ102" s="59">
        <f t="shared" si="28"/>
        <v>0.12964428598612887</v>
      </c>
      <c r="AK102" s="59">
        <f t="shared" si="54"/>
        <v>0.14435671606900335</v>
      </c>
      <c r="AL102" s="60">
        <f t="shared" si="54"/>
        <v>0.11891611927488821</v>
      </c>
      <c r="AM102" s="65">
        <f t="shared" si="42"/>
        <v>0.23043577139549382</v>
      </c>
      <c r="AO102" s="68"/>
      <c r="AP102" s="59">
        <f t="shared" si="43"/>
        <v>0.41951612658183346</v>
      </c>
      <c r="AQ102" s="59">
        <f t="shared" si="44"/>
        <v>0.37735508027097464</v>
      </c>
      <c r="AR102" s="59">
        <f t="shared" si="45"/>
        <v>0.1020268535160771</v>
      </c>
      <c r="AS102" s="59">
        <f t="shared" si="46"/>
        <v>5.4434716665497263E-2</v>
      </c>
      <c r="AT102" s="59">
        <f t="shared" si="47"/>
        <v>8.9340274935092667E-2</v>
      </c>
      <c r="AU102" s="59">
        <f t="shared" si="48"/>
        <v>0.14640813388788332</v>
      </c>
      <c r="AV102" s="59">
        <f t="shared" si="49"/>
        <v>0.17898402902720734</v>
      </c>
      <c r="AW102" s="59">
        <f t="shared" si="50"/>
        <v>6.8827974251233659E-2</v>
      </c>
      <c r="AX102" s="59">
        <f t="shared" si="51"/>
        <v>6.2837109751094467E-2</v>
      </c>
      <c r="AY102" s="59">
        <f t="shared" si="52"/>
        <v>9.6976587524400193E-2</v>
      </c>
      <c r="AZ102" s="65">
        <f t="shared" si="53"/>
        <v>0.1596706886411294</v>
      </c>
    </row>
    <row r="103" spans="1:52" ht="38.25">
      <c r="A103" s="515" t="s">
        <v>26</v>
      </c>
      <c r="B103" s="495">
        <v>1811517772</v>
      </c>
      <c r="C103" s="496">
        <v>3204658061</v>
      </c>
      <c r="D103" s="496">
        <v>4889245675</v>
      </c>
      <c r="E103" s="496">
        <v>5162602651</v>
      </c>
      <c r="F103" s="496">
        <v>5703643602</v>
      </c>
      <c r="G103" s="496">
        <v>6359026222</v>
      </c>
      <c r="H103" s="496">
        <v>7310784350</v>
      </c>
      <c r="I103" s="496">
        <v>9197197755</v>
      </c>
      <c r="J103" s="496">
        <v>10712016852</v>
      </c>
      <c r="K103" s="496">
        <v>12917223947.879999</v>
      </c>
      <c r="L103" s="497">
        <v>14037061354.629999</v>
      </c>
      <c r="M103" s="463"/>
      <c r="O103" s="58">
        <f t="shared" si="29"/>
        <v>0.47308472841824056</v>
      </c>
      <c r="P103" s="59">
        <f t="shared" si="30"/>
        <v>0.53493876022989584</v>
      </c>
      <c r="Q103" s="59">
        <f t="shared" si="31"/>
        <v>0.45346744545277151</v>
      </c>
      <c r="R103" s="59">
        <f t="shared" si="32"/>
        <v>0.54807689140464966</v>
      </c>
      <c r="S103" s="59">
        <f t="shared" si="33"/>
        <v>0.48188266069017149</v>
      </c>
      <c r="T103" s="59">
        <f t="shared" si="34"/>
        <v>0.4532874826169957</v>
      </c>
      <c r="U103" s="59">
        <f t="shared" si="35"/>
        <v>0.49017424940835619</v>
      </c>
      <c r="V103" s="59">
        <f t="shared" si="36"/>
        <v>0.45794553824544532</v>
      </c>
      <c r="W103" s="59">
        <f t="shared" si="37"/>
        <v>0.46959882163713362</v>
      </c>
      <c r="X103" s="59">
        <f t="shared" si="38"/>
        <v>0.46744681166527297</v>
      </c>
      <c r="Y103" s="60">
        <f t="shared" si="39"/>
        <v>0.51399527356841757</v>
      </c>
      <c r="Z103" s="60">
        <f t="shared" si="40"/>
        <v>0.48580896939430451</v>
      </c>
      <c r="AB103" s="68"/>
      <c r="AC103" s="59">
        <f t="shared" si="41"/>
        <v>0.76904588546316499</v>
      </c>
      <c r="AD103" s="59">
        <f t="shared" si="41"/>
        <v>0.52566844322677331</v>
      </c>
      <c r="AE103" s="59">
        <f t="shared" si="41"/>
        <v>5.5909846665661789E-2</v>
      </c>
      <c r="AF103" s="59">
        <f t="shared" si="41"/>
        <v>0.104800037418181</v>
      </c>
      <c r="AG103" s="59">
        <f t="shared" si="28"/>
        <v>0.1149059558648069</v>
      </c>
      <c r="AH103" s="59">
        <f t="shared" si="28"/>
        <v>0.14967042040293066</v>
      </c>
      <c r="AI103" s="59">
        <f t="shared" si="28"/>
        <v>0.25803160299756356</v>
      </c>
      <c r="AJ103" s="59">
        <f t="shared" si="28"/>
        <v>0.16470441729672247</v>
      </c>
      <c r="AK103" s="59">
        <f t="shared" si="54"/>
        <v>0.20586292258009964</v>
      </c>
      <c r="AL103" s="60">
        <f t="shared" si="54"/>
        <v>8.6693349226463656E-2</v>
      </c>
      <c r="AM103" s="65">
        <f t="shared" si="42"/>
        <v>0.2435292881142368</v>
      </c>
      <c r="AO103" s="68"/>
      <c r="AP103" s="59">
        <f t="shared" si="43"/>
        <v>0.62670886019601402</v>
      </c>
      <c r="AQ103" s="59">
        <f t="shared" si="44"/>
        <v>0.41724890220787114</v>
      </c>
      <c r="AR103" s="59">
        <f t="shared" si="45"/>
        <v>-1.307613172664579E-2</v>
      </c>
      <c r="AS103" s="59">
        <f t="shared" si="46"/>
        <v>3.746834202101712E-2</v>
      </c>
      <c r="AT103" s="59">
        <f t="shared" si="47"/>
        <v>5.6807712487547679E-2</v>
      </c>
      <c r="AU103" s="59">
        <f t="shared" si="48"/>
        <v>9.6463664786218484E-2</v>
      </c>
      <c r="AV103" s="59">
        <f t="shared" si="49"/>
        <v>0.20408844084759159</v>
      </c>
      <c r="AW103" s="59">
        <f t="shared" si="50"/>
        <v>0.10200058406350898</v>
      </c>
      <c r="AX103" s="59">
        <f t="shared" si="51"/>
        <v>0.11996184877876814</v>
      </c>
      <c r="AY103" s="59">
        <f t="shared" si="52"/>
        <v>6.5385636496533062E-2</v>
      </c>
      <c r="AZ103" s="65">
        <f t="shared" si="53"/>
        <v>0.17130578601584243</v>
      </c>
    </row>
    <row r="104" spans="1:52" ht="25.5">
      <c r="A104" s="515" t="s">
        <v>27</v>
      </c>
      <c r="B104" s="495">
        <v>3829161381</v>
      </c>
      <c r="C104" s="496">
        <v>5990700804</v>
      </c>
      <c r="D104" s="496">
        <v>10781911081</v>
      </c>
      <c r="E104" s="496">
        <v>9419486083</v>
      </c>
      <c r="F104" s="496">
        <v>11836166908</v>
      </c>
      <c r="G104" s="496">
        <v>14028682604</v>
      </c>
      <c r="H104" s="496">
        <v>14914664242</v>
      </c>
      <c r="I104" s="496">
        <v>20083605990</v>
      </c>
      <c r="J104" s="496">
        <v>22810996021.360001</v>
      </c>
      <c r="K104" s="496">
        <v>27633569478.98</v>
      </c>
      <c r="L104" s="497">
        <v>27309709011.869999</v>
      </c>
      <c r="M104" s="463"/>
      <c r="O104" s="58">
        <f t="shared" si="29"/>
        <v>1</v>
      </c>
      <c r="P104" s="59">
        <f t="shared" si="30"/>
        <v>1</v>
      </c>
      <c r="Q104" s="59">
        <f t="shared" si="31"/>
        <v>1</v>
      </c>
      <c r="R104" s="59">
        <f t="shared" si="32"/>
        <v>1</v>
      </c>
      <c r="S104" s="59">
        <f t="shared" si="33"/>
        <v>1</v>
      </c>
      <c r="T104" s="59">
        <f t="shared" si="34"/>
        <v>1</v>
      </c>
      <c r="U104" s="59">
        <f t="shared" si="35"/>
        <v>1</v>
      </c>
      <c r="V104" s="59">
        <f t="shared" si="36"/>
        <v>1</v>
      </c>
      <c r="W104" s="59">
        <f t="shared" si="37"/>
        <v>1</v>
      </c>
      <c r="X104" s="59">
        <f t="shared" si="38"/>
        <v>1</v>
      </c>
      <c r="Y104" s="60">
        <f t="shared" si="39"/>
        <v>1</v>
      </c>
      <c r="Z104" s="60">
        <f t="shared" si="40"/>
        <v>1</v>
      </c>
      <c r="AB104" s="68"/>
      <c r="AC104" s="59">
        <f t="shared" si="41"/>
        <v>0.56449420850356158</v>
      </c>
      <c r="AD104" s="59">
        <f t="shared" si="41"/>
        <v>0.79977458961076842</v>
      </c>
      <c r="AE104" s="59">
        <f t="shared" si="41"/>
        <v>-0.12636210665851999</v>
      </c>
      <c r="AF104" s="59">
        <f t="shared" si="41"/>
        <v>0.25656185525466735</v>
      </c>
      <c r="AG104" s="59">
        <f t="shared" si="28"/>
        <v>0.1852386598669955</v>
      </c>
      <c r="AH104" s="59">
        <f t="shared" si="28"/>
        <v>6.3155013411407612E-2</v>
      </c>
      <c r="AI104" s="59">
        <f t="shared" si="28"/>
        <v>0.34656775802194417</v>
      </c>
      <c r="AJ104" s="59">
        <f t="shared" si="28"/>
        <v>0.13580180933234898</v>
      </c>
      <c r="AK104" s="59">
        <f t="shared" si="54"/>
        <v>0.21141441842803288</v>
      </c>
      <c r="AL104" s="60">
        <f t="shared" si="54"/>
        <v>-1.1719820248207613E-2</v>
      </c>
      <c r="AM104" s="65">
        <f t="shared" si="42"/>
        <v>0.24249263855229994</v>
      </c>
      <c r="AO104" s="68"/>
      <c r="AP104" s="59">
        <f t="shared" si="43"/>
        <v>0.43861536414120628</v>
      </c>
      <c r="AQ104" s="59">
        <f t="shared" si="44"/>
        <v>0.67187607023759255</v>
      </c>
      <c r="AR104" s="59">
        <f t="shared" si="45"/>
        <v>-0.18343967348211987</v>
      </c>
      <c r="AS104" s="59">
        <f t="shared" si="46"/>
        <v>0.17998108296991955</v>
      </c>
      <c r="AT104" s="59">
        <f t="shared" si="47"/>
        <v>0.12347534811961514</v>
      </c>
      <c r="AU104" s="59">
        <f t="shared" si="48"/>
        <v>1.3952191474458253E-2</v>
      </c>
      <c r="AV104" s="59">
        <f t="shared" si="49"/>
        <v>0.28882825231809361</v>
      </c>
      <c r="AW104" s="59">
        <f t="shared" si="50"/>
        <v>7.4653996908268461E-2</v>
      </c>
      <c r="AX104" s="59">
        <f t="shared" si="51"/>
        <v>0.12511787724345957</v>
      </c>
      <c r="AY104" s="59">
        <f t="shared" si="52"/>
        <v>-3.1097862988438862E-2</v>
      </c>
      <c r="AZ104" s="65">
        <f t="shared" si="53"/>
        <v>0.17019626469420548</v>
      </c>
    </row>
    <row r="105" spans="1:52" ht="25.5">
      <c r="A105" s="515" t="s">
        <v>157</v>
      </c>
      <c r="B105" s="495">
        <v>147935967</v>
      </c>
      <c r="C105" s="496">
        <v>183889675</v>
      </c>
      <c r="D105" s="496">
        <v>895956942</v>
      </c>
      <c r="E105" s="496">
        <v>1067610936</v>
      </c>
      <c r="F105" s="496">
        <v>139970380</v>
      </c>
      <c r="G105" s="496">
        <v>140660763</v>
      </c>
      <c r="H105" s="496">
        <v>226683616</v>
      </c>
      <c r="I105" s="496">
        <v>1787941263</v>
      </c>
      <c r="J105" s="496">
        <v>1421541326</v>
      </c>
      <c r="K105" s="496">
        <v>1278584134</v>
      </c>
      <c r="L105" s="497">
        <v>682713312.95000005</v>
      </c>
      <c r="M105" s="463"/>
      <c r="O105" s="58">
        <f t="shared" si="29"/>
        <v>3.8634038182367221E-2</v>
      </c>
      <c r="P105" s="59">
        <f t="shared" si="30"/>
        <v>3.0695853626543423E-2</v>
      </c>
      <c r="Q105" s="59">
        <f t="shared" si="31"/>
        <v>8.3098157206922707E-2</v>
      </c>
      <c r="R105" s="59">
        <f t="shared" si="32"/>
        <v>0.11334067767527058</v>
      </c>
      <c r="S105" s="59">
        <f t="shared" si="33"/>
        <v>1.1825651081803754E-2</v>
      </c>
      <c r="T105" s="59">
        <f t="shared" si="34"/>
        <v>1.0026655172873707E-2</v>
      </c>
      <c r="U105" s="59">
        <f t="shared" si="35"/>
        <v>1.5198707280426353E-2</v>
      </c>
      <c r="V105" s="59">
        <f t="shared" si="36"/>
        <v>8.9024912353401528E-2</v>
      </c>
      <c r="W105" s="59">
        <f t="shared" si="37"/>
        <v>6.2318248824772146E-2</v>
      </c>
      <c r="X105" s="59">
        <f t="shared" si="38"/>
        <v>4.6269235502586062E-2</v>
      </c>
      <c r="Y105" s="60">
        <f t="shared" si="39"/>
        <v>2.4998923007684293E-2</v>
      </c>
      <c r="Z105" s="60">
        <f t="shared" si="40"/>
        <v>4.7766459992241071E-2</v>
      </c>
      <c r="AB105" s="68"/>
      <c r="AC105" s="59">
        <f t="shared" si="41"/>
        <v>0.24303561012988806</v>
      </c>
      <c r="AD105" s="59">
        <f t="shared" si="41"/>
        <v>3.8722525720924788</v>
      </c>
      <c r="AE105" s="59">
        <f t="shared" si="41"/>
        <v>0.19158732518643729</v>
      </c>
      <c r="AF105" s="59">
        <f t="shared" si="41"/>
        <v>-0.86889383081403726</v>
      </c>
      <c r="AG105" s="59">
        <f t="shared" si="28"/>
        <v>4.9323506873382161E-3</v>
      </c>
      <c r="AH105" s="59">
        <f t="shared" si="28"/>
        <v>0.61156253645517333</v>
      </c>
      <c r="AI105" s="59">
        <f t="shared" si="28"/>
        <v>6.8873863693792501</v>
      </c>
      <c r="AJ105" s="59">
        <f t="shared" si="28"/>
        <v>-0.20492839702419241</v>
      </c>
      <c r="AK105" s="59">
        <f t="shared" si="54"/>
        <v>-0.10056492159975372</v>
      </c>
      <c r="AL105" s="60">
        <f t="shared" si="54"/>
        <v>-0.46603958644930277</v>
      </c>
      <c r="AM105" s="65">
        <f t="shared" si="42"/>
        <v>1.0170330028043282</v>
      </c>
      <c r="AO105" s="68"/>
      <c r="AP105" s="59">
        <f t="shared" si="43"/>
        <v>0.14302125069414995</v>
      </c>
      <c r="AQ105" s="59">
        <f t="shared" si="44"/>
        <v>3.5260126076102916</v>
      </c>
      <c r="AR105" s="59">
        <f t="shared" si="45"/>
        <v>0.11373710177253682</v>
      </c>
      <c r="AS105" s="59">
        <f t="shared" si="46"/>
        <v>-0.87688405560525617</v>
      </c>
      <c r="AT105" s="59">
        <f t="shared" si="47"/>
        <v>-4.7435119394590219E-2</v>
      </c>
      <c r="AU105" s="59">
        <f t="shared" si="48"/>
        <v>0.53697941026830698</v>
      </c>
      <c r="AV105" s="59">
        <f t="shared" si="49"/>
        <v>6.5491829722236314</v>
      </c>
      <c r="AW105" s="59">
        <f t="shared" si="50"/>
        <v>-0.24773242220095792</v>
      </c>
      <c r="AX105" s="59">
        <f t="shared" si="51"/>
        <v>-0.16463724491478937</v>
      </c>
      <c r="AY105" s="59">
        <f t="shared" si="52"/>
        <v>-0.47650939847970863</v>
      </c>
      <c r="AZ105" s="65">
        <f t="shared" si="53"/>
        <v>0.90557351019736154</v>
      </c>
    </row>
    <row r="106" spans="1:52" ht="25.5">
      <c r="A106" s="515" t="s">
        <v>158</v>
      </c>
      <c r="B106" s="495">
        <v>194898370</v>
      </c>
      <c r="C106" s="496">
        <v>327428084</v>
      </c>
      <c r="D106" s="496">
        <v>332957864</v>
      </c>
      <c r="E106" s="496">
        <v>588347955</v>
      </c>
      <c r="F106" s="496">
        <v>632561508</v>
      </c>
      <c r="G106" s="496">
        <v>604675256</v>
      </c>
      <c r="H106" s="496">
        <v>773839895</v>
      </c>
      <c r="I106" s="496">
        <v>1350974496</v>
      </c>
      <c r="J106" s="496">
        <v>2938688124</v>
      </c>
      <c r="K106" s="496">
        <v>1550183460.96</v>
      </c>
      <c r="L106" s="497">
        <v>3188258575.5999999</v>
      </c>
      <c r="M106" s="463"/>
      <c r="O106" s="58">
        <f t="shared" si="29"/>
        <v>5.0898447625391426E-2</v>
      </c>
      <c r="P106" s="59">
        <f t="shared" si="30"/>
        <v>5.4656056897613006E-2</v>
      </c>
      <c r="Q106" s="59">
        <f t="shared" si="31"/>
        <v>3.0881154694991125E-2</v>
      </c>
      <c r="R106" s="59">
        <f t="shared" si="32"/>
        <v>6.2460727667704968E-2</v>
      </c>
      <c r="S106" s="59">
        <f t="shared" si="33"/>
        <v>5.3443104758218236E-2</v>
      </c>
      <c r="T106" s="59">
        <f t="shared" si="34"/>
        <v>4.3102782568306797E-2</v>
      </c>
      <c r="U106" s="59">
        <f t="shared" si="35"/>
        <v>5.1884499875019044E-2</v>
      </c>
      <c r="V106" s="59">
        <f t="shared" si="36"/>
        <v>6.726752639305289E-2</v>
      </c>
      <c r="W106" s="59">
        <f t="shared" si="37"/>
        <v>0.12882769876634234</v>
      </c>
      <c r="X106" s="59">
        <f t="shared" si="38"/>
        <v>5.6097836442706994E-2</v>
      </c>
      <c r="Y106" s="60">
        <f t="shared" si="39"/>
        <v>0.11674450922249822</v>
      </c>
      <c r="Z106" s="60">
        <f t="shared" si="40"/>
        <v>6.5114940446531364E-2</v>
      </c>
      <c r="AB106" s="68"/>
      <c r="AC106" s="59">
        <f t="shared" si="41"/>
        <v>0.67999395787661032</v>
      </c>
      <c r="AD106" s="59">
        <f t="shared" si="41"/>
        <v>1.6888532994622452E-2</v>
      </c>
      <c r="AE106" s="59">
        <f t="shared" si="41"/>
        <v>0.76703426653409812</v>
      </c>
      <c r="AF106" s="59">
        <f t="shared" si="41"/>
        <v>7.5148647368035837E-2</v>
      </c>
      <c r="AG106" s="59">
        <f t="shared" si="28"/>
        <v>-4.4084648919232028E-2</v>
      </c>
      <c r="AH106" s="59">
        <f t="shared" si="28"/>
        <v>0.27976114008541475</v>
      </c>
      <c r="AI106" s="59">
        <f t="shared" si="28"/>
        <v>0.74580621227857469</v>
      </c>
      <c r="AJ106" s="59">
        <f t="shared" si="28"/>
        <v>1.1752358262135543</v>
      </c>
      <c r="AK106" s="59">
        <f t="shared" si="54"/>
        <v>-0.4724913309786799</v>
      </c>
      <c r="AL106" s="60">
        <f t="shared" si="54"/>
        <v>1.0566975818627107</v>
      </c>
      <c r="AM106" s="65">
        <f t="shared" si="42"/>
        <v>0.42799901853157091</v>
      </c>
      <c r="AO106" s="68"/>
      <c r="AP106" s="59">
        <f t="shared" si="43"/>
        <v>0.54482203023136599</v>
      </c>
      <c r="AQ106" s="59">
        <f t="shared" si="44"/>
        <v>-5.5375259642710173E-2</v>
      </c>
      <c r="AR106" s="59">
        <f t="shared" si="45"/>
        <v>0.65158824799897008</v>
      </c>
      <c r="AS106" s="59">
        <f t="shared" si="46"/>
        <v>9.6240467349384407E-3</v>
      </c>
      <c r="AT106" s="59">
        <f t="shared" si="47"/>
        <v>-9.389782143212777E-2</v>
      </c>
      <c r="AU106" s="59">
        <f t="shared" si="48"/>
        <v>0.22053378499313947</v>
      </c>
      <c r="AV106" s="59">
        <f t="shared" si="49"/>
        <v>0.67094775294656861</v>
      </c>
      <c r="AW106" s="59">
        <f t="shared" si="50"/>
        <v>1.0581283245468391</v>
      </c>
      <c r="AX106" s="59">
        <f t="shared" si="51"/>
        <v>-0.51006903592335839</v>
      </c>
      <c r="AY106" s="59">
        <f t="shared" si="52"/>
        <v>1.0163701782967753</v>
      </c>
      <c r="AZ106" s="65">
        <f t="shared" si="53"/>
        <v>0.35126722487504003</v>
      </c>
    </row>
    <row r="107" spans="1:52" ht="25.5">
      <c r="A107" s="515" t="s">
        <v>159</v>
      </c>
      <c r="B107" s="495">
        <v>372687062</v>
      </c>
      <c r="C107" s="496">
        <v>638234881</v>
      </c>
      <c r="D107" s="496">
        <v>1544845526</v>
      </c>
      <c r="E107" s="496">
        <v>1495803083</v>
      </c>
      <c r="F107" s="496">
        <v>1495611499</v>
      </c>
      <c r="G107" s="496">
        <v>1987386643</v>
      </c>
      <c r="H107" s="496">
        <v>2475112933</v>
      </c>
      <c r="I107" s="496">
        <v>2965537744</v>
      </c>
      <c r="J107" s="496">
        <v>6233696760</v>
      </c>
      <c r="K107" s="496">
        <v>4367418086.29</v>
      </c>
      <c r="L107" s="497">
        <v>5573316642.2200003</v>
      </c>
      <c r="M107" s="463"/>
      <c r="O107" s="58">
        <f t="shared" si="29"/>
        <v>9.7328638027439671E-2</v>
      </c>
      <c r="P107" s="59">
        <f t="shared" si="30"/>
        <v>0.10653759916934086</v>
      </c>
      <c r="Q107" s="59">
        <f t="shared" si="31"/>
        <v>0.1432812341331903</v>
      </c>
      <c r="R107" s="59">
        <f t="shared" si="32"/>
        <v>0.15879879961812138</v>
      </c>
      <c r="S107" s="59">
        <f t="shared" si="33"/>
        <v>0.12635944648508837</v>
      </c>
      <c r="T107" s="59">
        <f t="shared" si="34"/>
        <v>0.14166594961905662</v>
      </c>
      <c r="U107" s="59">
        <f t="shared" si="35"/>
        <v>0.16595163611058916</v>
      </c>
      <c r="V107" s="59">
        <f t="shared" si="36"/>
        <v>0.14765962574034744</v>
      </c>
      <c r="W107" s="59">
        <f t="shared" si="37"/>
        <v>0.27327595665541415</v>
      </c>
      <c r="X107" s="59">
        <f t="shared" si="38"/>
        <v>0.15804755479063823</v>
      </c>
      <c r="Y107" s="60">
        <f t="shared" si="39"/>
        <v>0.20407821408121163</v>
      </c>
      <c r="Z107" s="60">
        <f t="shared" si="40"/>
        <v>0.15663496858458525</v>
      </c>
      <c r="AB107" s="68"/>
      <c r="AC107" s="59">
        <f t="shared" si="41"/>
        <v>0.71252223668553327</v>
      </c>
      <c r="AD107" s="59">
        <f t="shared" si="41"/>
        <v>1.4204968609354336</v>
      </c>
      <c r="AE107" s="59">
        <f t="shared" si="41"/>
        <v>-3.1745855604724094E-2</v>
      </c>
      <c r="AF107" s="59">
        <f t="shared" si="41"/>
        <v>-1.2808103030226281E-4</v>
      </c>
      <c r="AG107" s="59">
        <f t="shared" si="28"/>
        <v>0.32881209079283757</v>
      </c>
      <c r="AH107" s="59">
        <f t="shared" si="28"/>
        <v>0.24541087247309235</v>
      </c>
      <c r="AI107" s="59">
        <f t="shared" si="28"/>
        <v>0.19814239765034602</v>
      </c>
      <c r="AJ107" s="59">
        <f t="shared" si="28"/>
        <v>1.102046002487163</v>
      </c>
      <c r="AK107" s="59">
        <f t="shared" si="54"/>
        <v>-0.29938554048464816</v>
      </c>
      <c r="AL107" s="60">
        <f t="shared" si="54"/>
        <v>0.27611246097906261</v>
      </c>
      <c r="AM107" s="65">
        <f t="shared" si="42"/>
        <v>0.3952283444883794</v>
      </c>
      <c r="AO107" s="68"/>
      <c r="AP107" s="59">
        <f t="shared" si="43"/>
        <v>0.57473309120508809</v>
      </c>
      <c r="AQ107" s="59">
        <f t="shared" si="44"/>
        <v>1.2484875624109928</v>
      </c>
      <c r="AR107" s="59">
        <f t="shared" si="45"/>
        <v>-9.5005005705882994E-2</v>
      </c>
      <c r="AS107" s="59">
        <f t="shared" si="46"/>
        <v>-6.1064964813881351E-2</v>
      </c>
      <c r="AT107" s="59">
        <f t="shared" si="47"/>
        <v>0.25956710394222626</v>
      </c>
      <c r="AU107" s="59">
        <f t="shared" si="48"/>
        <v>0.18777324802168804</v>
      </c>
      <c r="AV107" s="59">
        <f t="shared" si="49"/>
        <v>0.1467672259287387</v>
      </c>
      <c r="AW107" s="59">
        <f t="shared" si="50"/>
        <v>0.98887879883353502</v>
      </c>
      <c r="AX107" s="59">
        <f t="shared" si="51"/>
        <v>-0.34929464148290901</v>
      </c>
      <c r="AY107" s="59">
        <f t="shared" si="52"/>
        <v>0.25109064801868874</v>
      </c>
      <c r="AZ107" s="65">
        <f t="shared" si="53"/>
        <v>0.31519330663582845</v>
      </c>
    </row>
    <row r="108" spans="1:52" ht="51">
      <c r="A108" s="515" t="s">
        <v>160</v>
      </c>
      <c r="B108" s="495">
        <v>296599077</v>
      </c>
      <c r="C108" s="496">
        <v>384173519</v>
      </c>
      <c r="D108" s="496">
        <v>216922852</v>
      </c>
      <c r="E108" s="496">
        <v>414648087</v>
      </c>
      <c r="F108" s="496">
        <v>567712826</v>
      </c>
      <c r="G108" s="496">
        <v>700607183</v>
      </c>
      <c r="H108" s="496">
        <v>859150299</v>
      </c>
      <c r="I108" s="496">
        <v>627511479</v>
      </c>
      <c r="J108" s="496">
        <v>1497428341</v>
      </c>
      <c r="K108" s="496">
        <v>1649419963.78</v>
      </c>
      <c r="L108" s="497">
        <v>13835273736.219999</v>
      </c>
      <c r="M108" s="463"/>
      <c r="O108" s="58">
        <f t="shared" si="29"/>
        <v>7.7457972513694892E-2</v>
      </c>
      <c r="P108" s="59">
        <f t="shared" si="30"/>
        <v>6.4128310120827064E-2</v>
      </c>
      <c r="Q108" s="59">
        <f t="shared" si="31"/>
        <v>2.0119146816399161E-2</v>
      </c>
      <c r="R108" s="59">
        <f t="shared" si="32"/>
        <v>4.4020245196640204E-2</v>
      </c>
      <c r="S108" s="59">
        <f t="shared" si="33"/>
        <v>4.7964246399422268E-2</v>
      </c>
      <c r="T108" s="59">
        <f t="shared" si="34"/>
        <v>4.9941053110734414E-2</v>
      </c>
      <c r="U108" s="59">
        <f t="shared" si="35"/>
        <v>5.7604400947935196E-2</v>
      </c>
      <c r="V108" s="59">
        <f t="shared" si="36"/>
        <v>3.124496065658974E-2</v>
      </c>
      <c r="W108" s="59">
        <f t="shared" si="37"/>
        <v>6.564502223391834E-2</v>
      </c>
      <c r="X108" s="59">
        <f t="shared" si="38"/>
        <v>5.9688994034399451E-2</v>
      </c>
      <c r="Y108" s="60">
        <f t="shared" si="39"/>
        <v>0.50660641349955726</v>
      </c>
      <c r="Z108" s="60">
        <f t="shared" si="40"/>
        <v>9.3129160502738006E-2</v>
      </c>
      <c r="AB108" s="68"/>
      <c r="AC108" s="59">
        <f t="shared" si="41"/>
        <v>0.29526201795968499</v>
      </c>
      <c r="AD108" s="59">
        <f t="shared" si="41"/>
        <v>-0.43535188847828943</v>
      </c>
      <c r="AE108" s="59">
        <f t="shared" si="41"/>
        <v>0.9115002553995557</v>
      </c>
      <c r="AF108" s="59">
        <f t="shared" si="41"/>
        <v>0.36914372403700479</v>
      </c>
      <c r="AG108" s="59">
        <f t="shared" si="28"/>
        <v>0.23408729011170859</v>
      </c>
      <c r="AH108" s="59">
        <f t="shared" si="28"/>
        <v>0.22629387743516749</v>
      </c>
      <c r="AI108" s="59">
        <f t="shared" si="28"/>
        <v>-0.26961385018385475</v>
      </c>
      <c r="AJ108" s="59">
        <f t="shared" si="28"/>
        <v>1.3862963325966504</v>
      </c>
      <c r="AK108" s="59">
        <f t="shared" si="54"/>
        <v>0.10150176714199111</v>
      </c>
      <c r="AL108" s="60">
        <f t="shared" si="54"/>
        <v>7.3879630658243638</v>
      </c>
      <c r="AM108" s="65">
        <f t="shared" si="42"/>
        <v>1.0207082591843983</v>
      </c>
      <c r="AO108" s="68"/>
      <c r="AP108" s="59">
        <f t="shared" si="43"/>
        <v>0.19104553375603217</v>
      </c>
      <c r="AQ108" s="59">
        <f t="shared" si="44"/>
        <v>-0.47547783416469058</v>
      </c>
      <c r="AR108" s="59">
        <f t="shared" si="45"/>
        <v>0.78661581026222605</v>
      </c>
      <c r="AS108" s="59">
        <f t="shared" si="46"/>
        <v>0.28570168469997648</v>
      </c>
      <c r="AT108" s="59">
        <f t="shared" si="47"/>
        <v>0.16977845459734664</v>
      </c>
      <c r="AU108" s="59">
        <f t="shared" si="48"/>
        <v>0.16954098765646375</v>
      </c>
      <c r="AV108" s="59">
        <f t="shared" si="49"/>
        <v>-0.30093209244243369</v>
      </c>
      <c r="AW108" s="59">
        <f t="shared" si="50"/>
        <v>1.2578260314094525</v>
      </c>
      <c r="AX108" s="59">
        <f t="shared" si="51"/>
        <v>2.3034983878509552E-2</v>
      </c>
      <c r="AY108" s="59">
        <f t="shared" si="52"/>
        <v>7.2234932017885924</v>
      </c>
      <c r="AZ108" s="65">
        <f t="shared" si="53"/>
        <v>0.93306267614414762</v>
      </c>
    </row>
    <row r="109" spans="1:52" ht="51">
      <c r="A109" s="515" t="s">
        <v>28</v>
      </c>
      <c r="B109" s="495">
        <v>351373249</v>
      </c>
      <c r="C109" s="496">
        <v>476756934</v>
      </c>
      <c r="D109" s="496">
        <v>1531784425</v>
      </c>
      <c r="E109" s="496">
        <v>1081420569</v>
      </c>
      <c r="F109" s="496">
        <v>1177346394</v>
      </c>
      <c r="G109" s="496">
        <v>1257737958</v>
      </c>
      <c r="H109" s="496">
        <v>1553695900</v>
      </c>
      <c r="I109" s="496">
        <v>2061179343</v>
      </c>
      <c r="J109" s="496">
        <v>1819697876.8299999</v>
      </c>
      <c r="K109" s="496">
        <v>2653766220.6799998</v>
      </c>
      <c r="L109" s="497">
        <v>2358795547.54</v>
      </c>
      <c r="M109" s="463"/>
      <c r="O109" s="58">
        <f t="shared" si="29"/>
        <v>9.1762455023046724E-2</v>
      </c>
      <c r="P109" s="59">
        <f t="shared" si="30"/>
        <v>7.958283172507441E-2</v>
      </c>
      <c r="Q109" s="59">
        <f t="shared" si="31"/>
        <v>0.14206984397221817</v>
      </c>
      <c r="R109" s="59">
        <f t="shared" si="32"/>
        <v>0.11480674842247654</v>
      </c>
      <c r="S109" s="59">
        <f t="shared" si="33"/>
        <v>9.9470242617501287E-2</v>
      </c>
      <c r="T109" s="59">
        <f t="shared" si="34"/>
        <v>8.9654744747121234E-2</v>
      </c>
      <c r="U109" s="59">
        <f t="shared" si="35"/>
        <v>0.10417236853544182</v>
      </c>
      <c r="V109" s="59">
        <f t="shared" si="36"/>
        <v>0.10262994324954888</v>
      </c>
      <c r="W109" s="59">
        <f t="shared" si="37"/>
        <v>7.9772837412537892E-2</v>
      </c>
      <c r="X109" s="59">
        <f t="shared" si="38"/>
        <v>9.6034145089313835E-2</v>
      </c>
      <c r="Y109" s="60">
        <f t="shared" si="39"/>
        <v>8.6372049827215802E-2</v>
      </c>
      <c r="Z109" s="60">
        <f t="shared" si="40"/>
        <v>9.8757110056499689E-2</v>
      </c>
      <c r="AB109" s="68"/>
      <c r="AC109" s="59">
        <f t="shared" si="41"/>
        <v>0.35683901764530734</v>
      </c>
      <c r="AD109" s="59">
        <f t="shared" si="41"/>
        <v>2.2129253205575821</v>
      </c>
      <c r="AE109" s="59">
        <f t="shared" si="41"/>
        <v>-0.29401255728266074</v>
      </c>
      <c r="AF109" s="59">
        <f t="shared" si="41"/>
        <v>8.8703532880554992E-2</v>
      </c>
      <c r="AG109" s="59">
        <f t="shared" si="28"/>
        <v>6.8281997897723157E-2</v>
      </c>
      <c r="AH109" s="59">
        <f t="shared" si="28"/>
        <v>0.23530970033743714</v>
      </c>
      <c r="AI109" s="59">
        <f t="shared" si="28"/>
        <v>0.32662983985476179</v>
      </c>
      <c r="AJ109" s="59">
        <f t="shared" si="28"/>
        <v>-0.11715694075340832</v>
      </c>
      <c r="AK109" s="59">
        <f t="shared" si="54"/>
        <v>0.45835539760203847</v>
      </c>
      <c r="AL109" s="60">
        <f t="shared" si="54"/>
        <v>-0.11115171745023444</v>
      </c>
      <c r="AM109" s="65">
        <f t="shared" si="42"/>
        <v>0.32247235912891009</v>
      </c>
      <c r="AO109" s="68"/>
      <c r="AP109" s="59">
        <f t="shared" si="43"/>
        <v>0.24766806220258153</v>
      </c>
      <c r="AQ109" s="59">
        <f t="shared" si="44"/>
        <v>1.9846031774803361</v>
      </c>
      <c r="AR109" s="59">
        <f t="shared" si="45"/>
        <v>-0.34013698222512456</v>
      </c>
      <c r="AS109" s="59">
        <f t="shared" si="46"/>
        <v>2.2352833956761131E-2</v>
      </c>
      <c r="AT109" s="59">
        <f t="shared" si="47"/>
        <v>1.2613349629301274E-2</v>
      </c>
      <c r="AU109" s="59">
        <f t="shared" si="48"/>
        <v>0.17813955820768435</v>
      </c>
      <c r="AV109" s="59">
        <f t="shared" si="49"/>
        <v>0.26974525254092829</v>
      </c>
      <c r="AW109" s="59">
        <f t="shared" si="50"/>
        <v>-0.16468629080651742</v>
      </c>
      <c r="AX109" s="59">
        <f t="shared" si="51"/>
        <v>0.3544677232302762</v>
      </c>
      <c r="AY109" s="59">
        <f t="shared" si="52"/>
        <v>-0.12858011514728873</v>
      </c>
      <c r="AZ109" s="65">
        <f t="shared" si="53"/>
        <v>0.24361865690689388</v>
      </c>
    </row>
    <row r="110" spans="1:52" ht="25.5">
      <c r="A110" s="515" t="s">
        <v>29</v>
      </c>
      <c r="B110" s="495">
        <v>863773938</v>
      </c>
      <c r="C110" s="496">
        <v>1253176293</v>
      </c>
      <c r="D110" s="496">
        <v>1978100278</v>
      </c>
      <c r="E110" s="496">
        <v>1884526181</v>
      </c>
      <c r="F110" s="496">
        <v>2308530077</v>
      </c>
      <c r="G110" s="496">
        <v>3348987560</v>
      </c>
      <c r="H110" s="496">
        <v>3203154541</v>
      </c>
      <c r="I110" s="496">
        <v>4054654436</v>
      </c>
      <c r="J110" s="496">
        <v>4661125970.46</v>
      </c>
      <c r="K110" s="496">
        <v>5701273874.3199997</v>
      </c>
      <c r="L110" s="497">
        <v>5083948712.8299999</v>
      </c>
      <c r="M110" s="463"/>
      <c r="O110" s="58">
        <f t="shared" si="29"/>
        <v>0.22557783599458067</v>
      </c>
      <c r="P110" s="59">
        <f t="shared" si="30"/>
        <v>0.20918692720612125</v>
      </c>
      <c r="Q110" s="59">
        <f t="shared" si="31"/>
        <v>0.18346471818765317</v>
      </c>
      <c r="R110" s="59">
        <f t="shared" si="32"/>
        <v>0.20006677268743303</v>
      </c>
      <c r="S110" s="59">
        <f t="shared" si="33"/>
        <v>0.19504034498192799</v>
      </c>
      <c r="T110" s="59">
        <f t="shared" si="34"/>
        <v>0.2387243089415326</v>
      </c>
      <c r="U110" s="59">
        <f t="shared" si="35"/>
        <v>0.21476544755059596</v>
      </c>
      <c r="V110" s="59">
        <f t="shared" si="36"/>
        <v>0.20188876629121721</v>
      </c>
      <c r="W110" s="59">
        <f t="shared" si="37"/>
        <v>0.20433680169403237</v>
      </c>
      <c r="X110" s="59">
        <f t="shared" si="38"/>
        <v>0.20631695368406106</v>
      </c>
      <c r="Y110" s="60">
        <f t="shared" si="39"/>
        <v>0.18615902170983559</v>
      </c>
      <c r="Z110" s="60">
        <f t="shared" si="40"/>
        <v>0.20595708172081736</v>
      </c>
      <c r="AB110" s="68"/>
      <c r="AC110" s="59">
        <f t="shared" si="41"/>
        <v>0.45081512403769697</v>
      </c>
      <c r="AD110" s="59">
        <f t="shared" si="41"/>
        <v>0.57846927766610734</v>
      </c>
      <c r="AE110" s="59">
        <f t="shared" si="41"/>
        <v>-4.730503202527736E-2</v>
      </c>
      <c r="AF110" s="59">
        <f t="shared" si="41"/>
        <v>0.22499230855737307</v>
      </c>
      <c r="AG110" s="59">
        <f t="shared" si="28"/>
        <v>0.45070128969344148</v>
      </c>
      <c r="AH110" s="59">
        <f t="shared" si="28"/>
        <v>-4.3545404808849164E-2</v>
      </c>
      <c r="AI110" s="59">
        <f t="shared" si="28"/>
        <v>0.265831661913561</v>
      </c>
      <c r="AJ110" s="59">
        <f t="shared" si="28"/>
        <v>0.149574160765793</v>
      </c>
      <c r="AK110" s="59">
        <f t="shared" si="54"/>
        <v>0.22315378525531426</v>
      </c>
      <c r="AL110" s="60">
        <f t="shared" si="54"/>
        <v>-0.10827846111210171</v>
      </c>
      <c r="AM110" s="65">
        <f t="shared" si="42"/>
        <v>0.21444087099430584</v>
      </c>
      <c r="AO110" s="68"/>
      <c r="AP110" s="59">
        <f t="shared" si="43"/>
        <v>0.33408287267834225</v>
      </c>
      <c r="AQ110" s="59">
        <f t="shared" si="44"/>
        <v>0.46629751757186</v>
      </c>
      <c r="AR110" s="59">
        <f t="shared" si="45"/>
        <v>-0.10954765120597942</v>
      </c>
      <c r="AS110" s="59">
        <f t="shared" si="46"/>
        <v>0.15033553249823761</v>
      </c>
      <c r="AT110" s="59">
        <f t="shared" si="47"/>
        <v>0.37510460267876256</v>
      </c>
      <c r="AU110" s="59">
        <f t="shared" si="48"/>
        <v>-8.7810130596072122E-2</v>
      </c>
      <c r="AV110" s="59">
        <f t="shared" si="49"/>
        <v>0.21155404088204532</v>
      </c>
      <c r="AW110" s="59">
        <f t="shared" si="50"/>
        <v>8.7684890496539936E-2</v>
      </c>
      <c r="AX110" s="59">
        <f t="shared" si="51"/>
        <v>0.13602097636789656</v>
      </c>
      <c r="AY110" s="59">
        <f t="shared" si="52"/>
        <v>-0.12576319716872719</v>
      </c>
      <c r="AZ110" s="65">
        <f t="shared" si="53"/>
        <v>0.14379594542029056</v>
      </c>
    </row>
    <row r="111" spans="1:52" ht="51">
      <c r="A111" s="515" t="s">
        <v>161</v>
      </c>
      <c r="B111" s="495">
        <v>27424211</v>
      </c>
      <c r="C111" s="496">
        <v>27995080</v>
      </c>
      <c r="D111" s="496">
        <v>14215558</v>
      </c>
      <c r="E111" s="496">
        <v>15571145</v>
      </c>
      <c r="F111" s="496">
        <v>26912473</v>
      </c>
      <c r="G111" s="496">
        <v>100053453</v>
      </c>
      <c r="H111" s="496">
        <v>28087921</v>
      </c>
      <c r="I111" s="496">
        <v>91374005</v>
      </c>
      <c r="J111" s="496">
        <v>136691018</v>
      </c>
      <c r="K111" s="496">
        <v>148110751.12</v>
      </c>
      <c r="L111" s="497">
        <v>77076715.340000004</v>
      </c>
      <c r="M111" s="463"/>
      <c r="O111" s="58">
        <f t="shared" si="29"/>
        <v>7.161936589060152E-3</v>
      </c>
      <c r="P111" s="59">
        <f t="shared" si="30"/>
        <v>4.6730893289325419E-3</v>
      </c>
      <c r="Q111" s="59">
        <f t="shared" si="31"/>
        <v>1.3184636650408674E-3</v>
      </c>
      <c r="R111" s="59">
        <f t="shared" si="32"/>
        <v>1.6530779771629289E-3</v>
      </c>
      <c r="S111" s="59">
        <f t="shared" si="33"/>
        <v>2.2737490278047709E-3</v>
      </c>
      <c r="T111" s="59">
        <f t="shared" si="34"/>
        <v>7.1320633465234819E-3</v>
      </c>
      <c r="U111" s="59">
        <f t="shared" si="35"/>
        <v>1.8832419251453103E-3</v>
      </c>
      <c r="V111" s="59">
        <f t="shared" si="36"/>
        <v>4.5496812198714117E-3</v>
      </c>
      <c r="W111" s="59">
        <f t="shared" si="37"/>
        <v>5.9923300969411345E-3</v>
      </c>
      <c r="X111" s="59">
        <f t="shared" si="38"/>
        <v>5.3598125002513076E-3</v>
      </c>
      <c r="Y111" s="60">
        <f t="shared" si="39"/>
        <v>2.8223191725147666E-3</v>
      </c>
      <c r="Z111" s="60">
        <f t="shared" si="40"/>
        <v>4.0745240772044255E-3</v>
      </c>
      <c r="AB111" s="68"/>
      <c r="AC111" s="59">
        <f t="shared" si="41"/>
        <v>2.0816241531980584E-2</v>
      </c>
      <c r="AD111" s="59">
        <f t="shared" si="41"/>
        <v>-0.49221227444250915</v>
      </c>
      <c r="AE111" s="59">
        <f t="shared" si="41"/>
        <v>9.5359394263665243E-2</v>
      </c>
      <c r="AF111" s="59">
        <f t="shared" si="41"/>
        <v>0.7283554292250185</v>
      </c>
      <c r="AG111" s="59">
        <f t="shared" si="28"/>
        <v>2.7177353786848202</v>
      </c>
      <c r="AH111" s="59">
        <f t="shared" si="28"/>
        <v>-0.71927084815353648</v>
      </c>
      <c r="AI111" s="59">
        <f t="shared" si="28"/>
        <v>2.2531423383026463</v>
      </c>
      <c r="AJ111" s="59">
        <f t="shared" si="28"/>
        <v>0.49595082321279449</v>
      </c>
      <c r="AK111" s="59">
        <f t="shared" si="54"/>
        <v>8.3544136894203369E-2</v>
      </c>
      <c r="AL111" s="60">
        <f t="shared" si="54"/>
        <v>-0.47960080711796471</v>
      </c>
      <c r="AM111" s="65">
        <f t="shared" si="42"/>
        <v>0.47038198124011182</v>
      </c>
      <c r="AO111" s="68"/>
      <c r="AP111" s="59">
        <f t="shared" si="43"/>
        <v>-6.1318398591282186E-2</v>
      </c>
      <c r="AQ111" s="59">
        <f t="shared" si="44"/>
        <v>-0.52829751457734253</v>
      </c>
      <c r="AR111" s="59">
        <f t="shared" si="45"/>
        <v>2.3796050344579101E-2</v>
      </c>
      <c r="AS111" s="59">
        <f t="shared" si="46"/>
        <v>0.62302134399945408</v>
      </c>
      <c r="AT111" s="59">
        <f t="shared" si="47"/>
        <v>2.5240025407652884</v>
      </c>
      <c r="AU111" s="59">
        <f t="shared" si="48"/>
        <v>-0.73226299539130468</v>
      </c>
      <c r="AV111" s="59">
        <f t="shared" si="49"/>
        <v>2.1136507832146312</v>
      </c>
      <c r="AW111" s="59">
        <f t="shared" si="50"/>
        <v>0.41541377917758981</v>
      </c>
      <c r="AX111" s="59">
        <f t="shared" si="51"/>
        <v>6.3565866947183913E-3</v>
      </c>
      <c r="AY111" s="59">
        <f t="shared" si="52"/>
        <v>-0.48980471286074978</v>
      </c>
      <c r="AZ111" s="65">
        <f t="shared" si="53"/>
        <v>0.38945574627755819</v>
      </c>
    </row>
    <row r="112" spans="1:52" ht="25.5">
      <c r="A112" s="515" t="s">
        <v>162</v>
      </c>
      <c r="B112" s="495">
        <v>133314</v>
      </c>
      <c r="C112" s="496">
        <v>824734</v>
      </c>
      <c r="D112" s="496">
        <v>291137</v>
      </c>
      <c r="E112" s="496">
        <v>6728765</v>
      </c>
      <c r="F112" s="496">
        <v>6356053</v>
      </c>
      <c r="G112" s="496">
        <v>11569630</v>
      </c>
      <c r="H112" s="496">
        <v>5282026</v>
      </c>
      <c r="I112" s="496">
        <v>1566521</v>
      </c>
      <c r="J112" s="496">
        <v>71188311</v>
      </c>
      <c r="K112" s="496">
        <v>10504536</v>
      </c>
      <c r="L112" s="497">
        <v>12016537</v>
      </c>
      <c r="M112" s="463"/>
      <c r="O112" s="58">
        <f t="shared" si="29"/>
        <v>3.4815456110440701E-5</v>
      </c>
      <c r="P112" s="59">
        <f t="shared" si="30"/>
        <v>1.3766903522361256E-4</v>
      </c>
      <c r="Q112" s="59">
        <f t="shared" si="31"/>
        <v>2.7002355872981067E-5</v>
      </c>
      <c r="R112" s="59">
        <f t="shared" si="32"/>
        <v>7.1434523504884933E-4</v>
      </c>
      <c r="S112" s="59">
        <f t="shared" si="33"/>
        <v>5.3700265038540294E-4</v>
      </c>
      <c r="T112" s="59">
        <f t="shared" si="34"/>
        <v>8.2471250698202766E-4</v>
      </c>
      <c r="U112" s="59">
        <f t="shared" si="35"/>
        <v>3.541498430199794E-4</v>
      </c>
      <c r="V112" s="59">
        <f t="shared" si="36"/>
        <v>7.7999986694620468E-5</v>
      </c>
      <c r="W112" s="59">
        <f t="shared" si="37"/>
        <v>3.1207892427555528E-3</v>
      </c>
      <c r="X112" s="59">
        <f t="shared" si="38"/>
        <v>3.8013677559790008E-4</v>
      </c>
      <c r="Y112" s="60">
        <f t="shared" si="39"/>
        <v>4.4000970478217418E-4</v>
      </c>
      <c r="Z112" s="60">
        <f t="shared" si="40"/>
        <v>6.0442116295214012E-4</v>
      </c>
      <c r="AB112" s="68"/>
      <c r="AC112" s="59">
        <f t="shared" si="41"/>
        <v>5.1864020282941024</v>
      </c>
      <c r="AD112" s="59">
        <f t="shared" si="41"/>
        <v>-0.64699284860330719</v>
      </c>
      <c r="AE112" s="59">
        <f t="shared" si="41"/>
        <v>22.112022862088981</v>
      </c>
      <c r="AF112" s="59">
        <f t="shared" si="41"/>
        <v>-5.5390848097682133E-2</v>
      </c>
      <c r="AG112" s="59">
        <f t="shared" si="28"/>
        <v>0.82025385880199542</v>
      </c>
      <c r="AH112" s="59">
        <f t="shared" si="28"/>
        <v>-0.54345765594923945</v>
      </c>
      <c r="AI112" s="59">
        <f t="shared" si="28"/>
        <v>-0.70342421638969599</v>
      </c>
      <c r="AJ112" s="59">
        <f t="shared" si="28"/>
        <v>44.44357273218808</v>
      </c>
      <c r="AK112" s="59">
        <f t="shared" si="54"/>
        <v>-0.85244015692407704</v>
      </c>
      <c r="AL112" s="60">
        <f t="shared" si="54"/>
        <v>0.14393791405922163</v>
      </c>
      <c r="AM112" s="65">
        <f t="shared" si="42"/>
        <v>6.990448366946838</v>
      </c>
      <c r="AO112" s="68"/>
      <c r="AP112" s="59">
        <f t="shared" si="43"/>
        <v>4.6886455432589456</v>
      </c>
      <c r="AQ112" s="59">
        <f t="shared" si="44"/>
        <v>-0.67207881895337407</v>
      </c>
      <c r="AR112" s="59">
        <f t="shared" si="45"/>
        <v>20.602040248704533</v>
      </c>
      <c r="AS112" s="59">
        <f t="shared" si="46"/>
        <v>-0.11295975969356942</v>
      </c>
      <c r="AT112" s="59">
        <f t="shared" si="47"/>
        <v>0.72539962366155897</v>
      </c>
      <c r="AU112" s="59">
        <f t="shared" si="48"/>
        <v>-0.56458643903133043</v>
      </c>
      <c r="AV112" s="59">
        <f t="shared" si="49"/>
        <v>-0.71614109531938741</v>
      </c>
      <c r="AW112" s="59">
        <f t="shared" si="50"/>
        <v>41.997041093942741</v>
      </c>
      <c r="AX112" s="59">
        <f t="shared" si="51"/>
        <v>-0.86295175715062422</v>
      </c>
      <c r="AY112" s="59">
        <f t="shared" si="52"/>
        <v>0.12150775888158982</v>
      </c>
      <c r="AZ112" s="65">
        <f t="shared" si="53"/>
        <v>6.5205916398301085</v>
      </c>
    </row>
    <row r="113" spans="1:52" ht="38.25">
      <c r="A113" s="515" t="s">
        <v>163</v>
      </c>
      <c r="B113" s="495">
        <v>16115887</v>
      </c>
      <c r="C113" s="496">
        <v>18148682</v>
      </c>
      <c r="D113" s="496">
        <v>16383083</v>
      </c>
      <c r="E113" s="496">
        <v>106932451</v>
      </c>
      <c r="F113" s="496">
        <v>84530472</v>
      </c>
      <c r="G113" s="496">
        <v>28127022</v>
      </c>
      <c r="H113" s="496">
        <v>50590715</v>
      </c>
      <c r="I113" s="496">
        <v>63937387</v>
      </c>
      <c r="J113" s="496">
        <v>97494307</v>
      </c>
      <c r="K113" s="496">
        <v>152128218</v>
      </c>
      <c r="L113" s="497">
        <v>238307249</v>
      </c>
      <c r="M113" s="463"/>
      <c r="O113" s="58">
        <f t="shared" si="29"/>
        <v>4.2087249390860811E-3</v>
      </c>
      <c r="P113" s="59">
        <f t="shared" si="30"/>
        <v>3.0294756145862094E-3</v>
      </c>
      <c r="Q113" s="59">
        <f t="shared" si="31"/>
        <v>1.5194971352407501E-3</v>
      </c>
      <c r="R113" s="59">
        <f t="shared" si="32"/>
        <v>1.135225956679191E-2</v>
      </c>
      <c r="S113" s="59">
        <f t="shared" si="33"/>
        <v>7.1417100364532977E-3</v>
      </c>
      <c r="T113" s="59">
        <f t="shared" si="34"/>
        <v>2.0049653124221472E-3</v>
      </c>
      <c r="U113" s="59">
        <f t="shared" si="35"/>
        <v>3.3920116590714466E-3</v>
      </c>
      <c r="V113" s="59">
        <f t="shared" si="36"/>
        <v>3.1835611110791365E-3</v>
      </c>
      <c r="W113" s="59">
        <f t="shared" si="37"/>
        <v>4.2740048224420915E-3</v>
      </c>
      <c r="X113" s="59">
        <f t="shared" si="38"/>
        <v>5.505196066534916E-3</v>
      </c>
      <c r="Y113" s="60">
        <f t="shared" si="39"/>
        <v>8.7260998971618927E-3</v>
      </c>
      <c r="Z113" s="60">
        <f t="shared" si="40"/>
        <v>4.939773287351807E-3</v>
      </c>
      <c r="AB113" s="68"/>
      <c r="AC113" s="59">
        <f t="shared" si="41"/>
        <v>0.12613609167152884</v>
      </c>
      <c r="AD113" s="59">
        <f t="shared" si="41"/>
        <v>-9.728524638869096E-2</v>
      </c>
      <c r="AE113" s="59">
        <f t="shared" si="41"/>
        <v>5.5270041664319223</v>
      </c>
      <c r="AF113" s="59">
        <f t="shared" si="41"/>
        <v>-0.20949654469249934</v>
      </c>
      <c r="AG113" s="59">
        <f t="shared" si="28"/>
        <v>-0.667255826987456</v>
      </c>
      <c r="AH113" s="59">
        <f t="shared" si="28"/>
        <v>0.79865166671395205</v>
      </c>
      <c r="AI113" s="59">
        <f t="shared" si="28"/>
        <v>0.26381663117431731</v>
      </c>
      <c r="AJ113" s="59">
        <f t="shared" si="28"/>
        <v>0.52484034106680033</v>
      </c>
      <c r="AK113" s="59">
        <f t="shared" si="54"/>
        <v>0.56038052560340779</v>
      </c>
      <c r="AL113" s="60">
        <f t="shared" si="54"/>
        <v>0.56648945299549891</v>
      </c>
      <c r="AM113" s="65">
        <f t="shared" si="42"/>
        <v>0.73932812575887819</v>
      </c>
      <c r="AO113" s="68"/>
      <c r="AP113" s="59">
        <f t="shared" si="43"/>
        <v>3.5527440617497907E-2</v>
      </c>
      <c r="AQ113" s="59">
        <f t="shared" si="44"/>
        <v>-0.16143543556775752</v>
      </c>
      <c r="AR113" s="59">
        <f t="shared" si="45"/>
        <v>5.1005740409682421</v>
      </c>
      <c r="AS113" s="59">
        <f t="shared" si="46"/>
        <v>-0.25767353243731739</v>
      </c>
      <c r="AT113" s="59">
        <f t="shared" si="47"/>
        <v>-0.68459527328277359</v>
      </c>
      <c r="AU113" s="59">
        <f t="shared" si="48"/>
        <v>0.71541005418564074</v>
      </c>
      <c r="AV113" s="59">
        <f t="shared" si="49"/>
        <v>0.20962541268598534</v>
      </c>
      <c r="AW113" s="59">
        <f t="shared" si="50"/>
        <v>0.44274798095070533</v>
      </c>
      <c r="AX113" s="59">
        <f t="shared" si="51"/>
        <v>0.44922497037559928</v>
      </c>
      <c r="AY113" s="59">
        <f t="shared" si="52"/>
        <v>0.53577397352499889</v>
      </c>
      <c r="AZ113" s="65">
        <f t="shared" si="53"/>
        <v>0.63851796320208221</v>
      </c>
    </row>
    <row r="114" spans="1:52" ht="38.25">
      <c r="A114" s="515" t="s">
        <v>164</v>
      </c>
      <c r="B114" s="495">
        <v>834689</v>
      </c>
      <c r="C114" s="496">
        <v>1127605</v>
      </c>
      <c r="D114" s="496">
        <v>4352227</v>
      </c>
      <c r="E114" s="496">
        <v>6069498</v>
      </c>
      <c r="F114" s="496">
        <v>10492192</v>
      </c>
      <c r="G114" s="496">
        <v>16716870</v>
      </c>
      <c r="H114" s="496">
        <v>23116729</v>
      </c>
      <c r="I114" s="496">
        <v>67701494</v>
      </c>
      <c r="J114" s="496">
        <v>85910292</v>
      </c>
      <c r="K114" s="496">
        <v>128066158</v>
      </c>
      <c r="L114" s="497">
        <v>51694697</v>
      </c>
      <c r="M114" s="463"/>
      <c r="O114" s="58">
        <f t="shared" si="29"/>
        <v>2.1798219425842475E-4</v>
      </c>
      <c r="P114" s="59">
        <f t="shared" si="30"/>
        <v>1.8822589157634051E-4</v>
      </c>
      <c r="Q114" s="59">
        <f t="shared" si="31"/>
        <v>4.0366007169819287E-4</v>
      </c>
      <c r="R114" s="59">
        <f t="shared" si="32"/>
        <v>6.4435553559063531E-4</v>
      </c>
      <c r="S114" s="59">
        <f t="shared" si="33"/>
        <v>8.8645184556398787E-4</v>
      </c>
      <c r="T114" s="59">
        <f t="shared" si="34"/>
        <v>1.1916208008892807E-3</v>
      </c>
      <c r="U114" s="59">
        <f t="shared" si="35"/>
        <v>1.5499329133338998E-3</v>
      </c>
      <c r="V114" s="59">
        <f t="shared" si="36"/>
        <v>3.3709829815278106E-3</v>
      </c>
      <c r="W114" s="59">
        <f t="shared" si="37"/>
        <v>3.7661789042247175E-3</v>
      </c>
      <c r="X114" s="59">
        <f t="shared" si="38"/>
        <v>4.6344413846866927E-3</v>
      </c>
      <c r="Y114" s="60">
        <f t="shared" si="39"/>
        <v>1.8929054490302777E-3</v>
      </c>
      <c r="Z114" s="60">
        <f t="shared" si="40"/>
        <v>1.7042489065800239E-3</v>
      </c>
      <c r="AB114" s="68"/>
      <c r="AC114" s="59">
        <f t="shared" si="41"/>
        <v>0.35092830982557577</v>
      </c>
      <c r="AD114" s="59">
        <f t="shared" si="41"/>
        <v>2.8597088519472686</v>
      </c>
      <c r="AE114" s="59">
        <f t="shared" si="41"/>
        <v>0.39457293932508586</v>
      </c>
      <c r="AF114" s="59">
        <f t="shared" si="41"/>
        <v>0.7286754192850875</v>
      </c>
      <c r="AG114" s="59">
        <f t="shared" si="28"/>
        <v>0.59326764130888954</v>
      </c>
      <c r="AH114" s="59">
        <f t="shared" si="28"/>
        <v>0.38283835430915003</v>
      </c>
      <c r="AI114" s="59">
        <f t="shared" si="28"/>
        <v>1.9286796587873658</v>
      </c>
      <c r="AJ114" s="59">
        <f t="shared" si="28"/>
        <v>0.26895710750489488</v>
      </c>
      <c r="AK114" s="59">
        <f t="shared" si="54"/>
        <v>0.49069634171421517</v>
      </c>
      <c r="AL114" s="60">
        <f t="shared" si="54"/>
        <v>-0.59634381317193885</v>
      </c>
      <c r="AM114" s="65">
        <f t="shared" si="42"/>
        <v>0.74019808108355944</v>
      </c>
      <c r="AO114" s="68"/>
      <c r="AP114" s="59">
        <f t="shared" si="43"/>
        <v>0.24223292857524226</v>
      </c>
      <c r="AQ114" s="59">
        <f t="shared" si="44"/>
        <v>2.585423921920361</v>
      </c>
      <c r="AR114" s="59">
        <f t="shared" si="45"/>
        <v>0.30346101441731532</v>
      </c>
      <c r="AS114" s="59">
        <f t="shared" si="46"/>
        <v>0.62332183236462346</v>
      </c>
      <c r="AT114" s="59">
        <f t="shared" si="47"/>
        <v>0.51024175854008313</v>
      </c>
      <c r="AU114" s="59">
        <f t="shared" si="48"/>
        <v>0.31884058497508572</v>
      </c>
      <c r="AV114" s="59">
        <f t="shared" si="49"/>
        <v>1.8031007453937269</v>
      </c>
      <c r="AW114" s="59">
        <f t="shared" si="50"/>
        <v>0.20064065427655864</v>
      </c>
      <c r="AX114" s="59">
        <f t="shared" si="51"/>
        <v>0.38450482187630275</v>
      </c>
      <c r="AY114" s="59">
        <f t="shared" si="52"/>
        <v>-0.60425864036464594</v>
      </c>
      <c r="AZ114" s="65">
        <f t="shared" si="53"/>
        <v>0.6367509621974653</v>
      </c>
    </row>
    <row r="115" spans="1:52" ht="38.25">
      <c r="A115" s="515" t="s">
        <v>165</v>
      </c>
      <c r="B115" s="495">
        <v>541549</v>
      </c>
      <c r="C115" s="496">
        <v>3052970</v>
      </c>
      <c r="D115" s="496">
        <v>4773773</v>
      </c>
      <c r="E115" s="496">
        <v>5292038</v>
      </c>
      <c r="F115" s="496">
        <v>6959102</v>
      </c>
      <c r="G115" s="496">
        <v>9476670</v>
      </c>
      <c r="H115" s="496">
        <v>11991022</v>
      </c>
      <c r="I115" s="496">
        <v>15899313</v>
      </c>
      <c r="J115" s="496">
        <v>21491739</v>
      </c>
      <c r="K115" s="496">
        <v>22690478</v>
      </c>
      <c r="L115" s="497">
        <v>26634251</v>
      </c>
      <c r="M115" s="463"/>
      <c r="O115" s="58">
        <f t="shared" si="29"/>
        <v>1.4142757280670486E-4</v>
      </c>
      <c r="P115" s="59">
        <f t="shared" si="30"/>
        <v>5.0961817321297823E-4</v>
      </c>
      <c r="Q115" s="59">
        <f t="shared" si="31"/>
        <v>4.4275759317032341E-4</v>
      </c>
      <c r="R115" s="59">
        <f t="shared" si="32"/>
        <v>5.6181812397928035E-4</v>
      </c>
      <c r="S115" s="59">
        <f t="shared" si="33"/>
        <v>5.8795233744941377E-4</v>
      </c>
      <c r="T115" s="59">
        <f t="shared" si="34"/>
        <v>6.7552102128947702E-4</v>
      </c>
      <c r="U115" s="59">
        <f t="shared" si="35"/>
        <v>8.0397532290623318E-4</v>
      </c>
      <c r="V115" s="59">
        <f t="shared" si="36"/>
        <v>7.9165628960837825E-4</v>
      </c>
      <c r="W115" s="59">
        <f t="shared" si="37"/>
        <v>9.4216574234090166E-4</v>
      </c>
      <c r="X115" s="59">
        <f t="shared" si="38"/>
        <v>8.2112005172766203E-4</v>
      </c>
      <c r="Y115" s="60">
        <f t="shared" si="39"/>
        <v>9.7526674445427397E-4</v>
      </c>
      <c r="Z115" s="60">
        <f t="shared" si="40"/>
        <v>6.5938899754051147E-4</v>
      </c>
      <c r="AB115" s="68"/>
      <c r="AC115" s="59">
        <f t="shared" si="41"/>
        <v>4.6374769411447536</v>
      </c>
      <c r="AD115" s="59">
        <f t="shared" si="41"/>
        <v>0.56364884030960005</v>
      </c>
      <c r="AE115" s="59">
        <f t="shared" si="41"/>
        <v>0.10856507001903948</v>
      </c>
      <c r="AF115" s="59">
        <f t="shared" si="41"/>
        <v>0.31501361101337522</v>
      </c>
      <c r="AG115" s="59">
        <f t="shared" si="28"/>
        <v>0.36176621638826378</v>
      </c>
      <c r="AH115" s="59">
        <f t="shared" si="28"/>
        <v>0.26532020213851482</v>
      </c>
      <c r="AI115" s="59">
        <f t="shared" si="28"/>
        <v>0.32593477019723593</v>
      </c>
      <c r="AJ115" s="59">
        <f t="shared" si="28"/>
        <v>0.3517401034874903</v>
      </c>
      <c r="AK115" s="59">
        <f t="shared" si="54"/>
        <v>5.5776733562602931E-2</v>
      </c>
      <c r="AL115" s="60">
        <f t="shared" si="54"/>
        <v>0.17380740061976652</v>
      </c>
      <c r="AM115" s="65">
        <f t="shared" si="42"/>
        <v>0.71590498888806431</v>
      </c>
      <c r="AO115" s="68"/>
      <c r="AP115" s="59">
        <f t="shared" si="43"/>
        <v>4.1838868424319582</v>
      </c>
      <c r="AQ115" s="59">
        <f t="shared" si="44"/>
        <v>0.45253027432382731</v>
      </c>
      <c r="AR115" s="59">
        <f t="shared" si="45"/>
        <v>3.6138956929656407E-2</v>
      </c>
      <c r="AS115" s="59">
        <f t="shared" si="46"/>
        <v>0.23487051461487018</v>
      </c>
      <c r="AT115" s="59">
        <f t="shared" si="47"/>
        <v>0.29080397545083336</v>
      </c>
      <c r="AU115" s="59">
        <f t="shared" si="48"/>
        <v>0.20676117376194947</v>
      </c>
      <c r="AV115" s="59">
        <f t="shared" si="49"/>
        <v>0.26907998678908496</v>
      </c>
      <c r="AW115" s="59">
        <f t="shared" si="50"/>
        <v>0.27896688758396282</v>
      </c>
      <c r="AX115" s="59">
        <f t="shared" si="51"/>
        <v>-1.9432772766227457E-2</v>
      </c>
      <c r="AY115" s="59">
        <f t="shared" si="52"/>
        <v>0.1507915692350652</v>
      </c>
      <c r="AZ115" s="65">
        <f t="shared" si="53"/>
        <v>0.60843974083549812</v>
      </c>
    </row>
    <row r="116" spans="1:52" ht="38.25">
      <c r="A116" s="515" t="s">
        <v>166</v>
      </c>
      <c r="B116" s="495">
        <v>82577100</v>
      </c>
      <c r="C116" s="496">
        <v>118269824</v>
      </c>
      <c r="D116" s="496">
        <v>192048985</v>
      </c>
      <c r="E116" s="496">
        <v>247608628</v>
      </c>
      <c r="F116" s="496">
        <v>313586380</v>
      </c>
      <c r="G116" s="496">
        <v>312177907</v>
      </c>
      <c r="H116" s="496">
        <v>357393010</v>
      </c>
      <c r="I116" s="496">
        <v>522326127</v>
      </c>
      <c r="J116" s="496">
        <v>634398750</v>
      </c>
      <c r="K116" s="496">
        <v>612580982.26999998</v>
      </c>
      <c r="L116" s="497">
        <v>556928230.63</v>
      </c>
      <c r="M116" s="463"/>
      <c r="O116" s="58">
        <f t="shared" si="29"/>
        <v>2.1565322477590295E-2</v>
      </c>
      <c r="P116" s="59">
        <f t="shared" si="30"/>
        <v>1.9742235152359983E-2</v>
      </c>
      <c r="Q116" s="59">
        <f t="shared" si="31"/>
        <v>1.781214698926898E-2</v>
      </c>
      <c r="R116" s="59">
        <f t="shared" si="32"/>
        <v>2.6286851089134946E-2</v>
      </c>
      <c r="S116" s="59">
        <f t="shared" si="33"/>
        <v>2.6493913311415766E-2</v>
      </c>
      <c r="T116" s="59">
        <f t="shared" si="34"/>
        <v>2.2252831275189636E-2</v>
      </c>
      <c r="U116" s="59">
        <f t="shared" si="35"/>
        <v>2.3962524680480164E-2</v>
      </c>
      <c r="V116" s="59">
        <f t="shared" si="36"/>
        <v>2.6007586847704336E-2</v>
      </c>
      <c r="W116" s="59">
        <f t="shared" si="37"/>
        <v>2.7811093799058797E-2</v>
      </c>
      <c r="X116" s="59">
        <f t="shared" si="38"/>
        <v>2.2168000508800405E-2</v>
      </c>
      <c r="Y116" s="60">
        <f t="shared" si="39"/>
        <v>2.0393048874593814E-2</v>
      </c>
      <c r="Z116" s="60">
        <f t="shared" si="40"/>
        <v>2.3135959545963373E-2</v>
      </c>
      <c r="AB116" s="68"/>
      <c r="AC116" s="59">
        <f t="shared" si="41"/>
        <v>0.43223513540678948</v>
      </c>
      <c r="AD116" s="59">
        <f t="shared" si="41"/>
        <v>0.62382067128128971</v>
      </c>
      <c r="AE116" s="59">
        <f t="shared" si="41"/>
        <v>0.28929933162625154</v>
      </c>
      <c r="AF116" s="59">
        <f t="shared" si="41"/>
        <v>0.26645982627067433</v>
      </c>
      <c r="AG116" s="59">
        <f t="shared" si="28"/>
        <v>-4.4914992800388909E-3</v>
      </c>
      <c r="AH116" s="59">
        <f t="shared" si="28"/>
        <v>0.14483761338050094</v>
      </c>
      <c r="AI116" s="59">
        <f t="shared" si="28"/>
        <v>0.46148948744129048</v>
      </c>
      <c r="AJ116" s="59">
        <f t="shared" si="28"/>
        <v>0.21456445926550405</v>
      </c>
      <c r="AK116" s="59">
        <f t="shared" si="54"/>
        <v>-3.4391252709750852E-2</v>
      </c>
      <c r="AL116" s="60">
        <f t="shared" si="54"/>
        <v>-9.0849623561233273E-2</v>
      </c>
      <c r="AM116" s="65">
        <f t="shared" si="42"/>
        <v>0.23029741491212774</v>
      </c>
      <c r="AO116" s="68"/>
      <c r="AP116" s="59">
        <f t="shared" si="43"/>
        <v>0.31699782566141566</v>
      </c>
      <c r="AQ116" s="59">
        <f t="shared" si="44"/>
        <v>0.50842607643408244</v>
      </c>
      <c r="AR116" s="59">
        <f t="shared" si="45"/>
        <v>0.20506526930203894</v>
      </c>
      <c r="AS116" s="59">
        <f t="shared" si="46"/>
        <v>0.18927582521426833</v>
      </c>
      <c r="AT116" s="59">
        <f t="shared" si="47"/>
        <v>-5.6367888364439844E-2</v>
      </c>
      <c r="AU116" s="59">
        <f t="shared" si="48"/>
        <v>9.1854520108771931E-2</v>
      </c>
      <c r="AV116" s="59">
        <f t="shared" si="49"/>
        <v>0.39882225061379262</v>
      </c>
      <c r="AW116" s="59">
        <f t="shared" si="50"/>
        <v>0.14917632629908617</v>
      </c>
      <c r="AX116" s="59">
        <f t="shared" si="51"/>
        <v>-0.10317753572002497</v>
      </c>
      <c r="AY116" s="59">
        <f t="shared" si="52"/>
        <v>-0.10867610153062091</v>
      </c>
      <c r="AZ116" s="65">
        <f t="shared" si="53"/>
        <v>0.15913965680183706</v>
      </c>
    </row>
    <row r="117" spans="1:52" ht="38.25">
      <c r="A117" s="515" t="s">
        <v>167</v>
      </c>
      <c r="B117" s="495">
        <v>2610386</v>
      </c>
      <c r="C117" s="496">
        <v>7947</v>
      </c>
      <c r="D117" s="496"/>
      <c r="E117" s="496">
        <v>322406</v>
      </c>
      <c r="F117" s="496">
        <v>154406</v>
      </c>
      <c r="G117" s="496">
        <v>43673</v>
      </c>
      <c r="H117" s="496">
        <v>179268</v>
      </c>
      <c r="I117" s="496">
        <v>289277</v>
      </c>
      <c r="J117" s="496">
        <v>1026159</v>
      </c>
      <c r="K117" s="496">
        <v>304169</v>
      </c>
      <c r="L117" s="497">
        <v>662923</v>
      </c>
      <c r="M117" s="463"/>
      <c r="O117" s="58">
        <f t="shared" si="29"/>
        <v>6.8171219237521082E-4</v>
      </c>
      <c r="P117" s="59">
        <f t="shared" si="30"/>
        <v>1.3265559840167242E-6</v>
      </c>
      <c r="Q117" s="59">
        <f t="shared" si="31"/>
        <v>0</v>
      </c>
      <c r="R117" s="59">
        <f t="shared" si="32"/>
        <v>3.4227557337960135E-5</v>
      </c>
      <c r="S117" s="59">
        <f t="shared" si="33"/>
        <v>1.3045270584655057E-5</v>
      </c>
      <c r="T117" s="59">
        <f t="shared" si="34"/>
        <v>3.1131219682415162E-6</v>
      </c>
      <c r="U117" s="59">
        <f t="shared" si="35"/>
        <v>1.2019579997998054E-5</v>
      </c>
      <c r="V117" s="59">
        <f t="shared" si="36"/>
        <v>1.4403638477275266E-5</v>
      </c>
      <c r="W117" s="59">
        <f t="shared" si="37"/>
        <v>4.4985278110570642E-5</v>
      </c>
      <c r="X117" s="59">
        <f t="shared" si="38"/>
        <v>1.1007228010531608E-5</v>
      </c>
      <c r="Y117" s="60">
        <f t="shared" si="39"/>
        <v>2.4274260839317788E-5</v>
      </c>
      <c r="Z117" s="60">
        <f t="shared" si="40"/>
        <v>7.6374062153252513E-5</v>
      </c>
      <c r="AB117" s="68"/>
      <c r="AC117" s="59">
        <f t="shared" si="41"/>
        <v>-0.99695562265504034</v>
      </c>
      <c r="AD117" s="59">
        <f t="shared" si="41"/>
        <v>-1</v>
      </c>
      <c r="AE117" s="59" t="str">
        <f t="shared" si="41"/>
        <v/>
      </c>
      <c r="AF117" s="59">
        <f t="shared" si="41"/>
        <v>-0.52108211385644188</v>
      </c>
      <c r="AG117" s="59">
        <f t="shared" si="28"/>
        <v>-0.71715477377822112</v>
      </c>
      <c r="AH117" s="59">
        <f t="shared" si="28"/>
        <v>3.1047786962196326</v>
      </c>
      <c r="AI117" s="59">
        <f t="shared" si="28"/>
        <v>0.61365664814690857</v>
      </c>
      <c r="AJ117" s="59">
        <f t="shared" si="28"/>
        <v>2.5473231539320444</v>
      </c>
      <c r="AK117" s="59">
        <f t="shared" si="54"/>
        <v>-0.70358492202475442</v>
      </c>
      <c r="AL117" s="60">
        <f t="shared" si="54"/>
        <v>1.1794561575965994</v>
      </c>
      <c r="AM117" s="65">
        <f t="shared" si="42"/>
        <v>0.38960413595341409</v>
      </c>
      <c r="AO117" s="68"/>
      <c r="AP117" s="59">
        <f t="shared" si="43"/>
        <v>-0.99720057255635897</v>
      </c>
      <c r="AQ117" s="59">
        <f t="shared" si="44"/>
        <v>-1</v>
      </c>
      <c r="AR117" s="59">
        <f t="shared" si="45"/>
        <v>0</v>
      </c>
      <c r="AS117" s="59">
        <f t="shared" si="46"/>
        <v>-0.55026961579156897</v>
      </c>
      <c r="AT117" s="59">
        <f t="shared" si="47"/>
        <v>-0.73189396384594507</v>
      </c>
      <c r="AU117" s="59">
        <f t="shared" si="48"/>
        <v>2.914809507594339</v>
      </c>
      <c r="AV117" s="59">
        <f t="shared" si="49"/>
        <v>0.54446463260615308</v>
      </c>
      <c r="AW117" s="59">
        <f t="shared" si="50"/>
        <v>2.3563470091134873</v>
      </c>
      <c r="AX117" s="59">
        <f t="shared" si="51"/>
        <v>-0.72470040124895929</v>
      </c>
      <c r="AY117" s="59">
        <f t="shared" si="52"/>
        <v>1.1367217231339208</v>
      </c>
      <c r="AZ117" s="65">
        <f t="shared" si="53"/>
        <v>0.29482783190050676</v>
      </c>
    </row>
    <row r="118" spans="1:52" ht="38.25">
      <c r="A118" s="515" t="s">
        <v>168</v>
      </c>
      <c r="B118" s="495">
        <v>2794877</v>
      </c>
      <c r="C118" s="496">
        <v>3430642</v>
      </c>
      <c r="D118" s="496">
        <v>3839883</v>
      </c>
      <c r="E118" s="496">
        <v>6639359</v>
      </c>
      <c r="F118" s="496">
        <v>1487436</v>
      </c>
      <c r="G118" s="496">
        <v>2784362</v>
      </c>
      <c r="H118" s="496">
        <v>12513829</v>
      </c>
      <c r="I118" s="496">
        <v>7663167</v>
      </c>
      <c r="J118" s="496">
        <v>9613172</v>
      </c>
      <c r="K118" s="496">
        <v>11298118</v>
      </c>
      <c r="L118" s="497">
        <v>9567398</v>
      </c>
      <c r="M118" s="463"/>
      <c r="O118" s="58">
        <f t="shared" si="29"/>
        <v>7.298927159006569E-4</v>
      </c>
      <c r="P118" s="59">
        <f t="shared" si="30"/>
        <v>5.7266121481302406E-4</v>
      </c>
      <c r="Q118" s="59">
        <f t="shared" si="31"/>
        <v>3.5614122312385634E-4</v>
      </c>
      <c r="R118" s="59">
        <f t="shared" si="32"/>
        <v>7.048536344230618E-4</v>
      </c>
      <c r="S118" s="59">
        <f t="shared" si="33"/>
        <v>1.2566872464384144E-4</v>
      </c>
      <c r="T118" s="59">
        <f t="shared" si="34"/>
        <v>1.9847637006243868E-4</v>
      </c>
      <c r="U118" s="59">
        <f t="shared" si="35"/>
        <v>8.3902854244353694E-4</v>
      </c>
      <c r="V118" s="59">
        <f t="shared" si="36"/>
        <v>3.8156330112309675E-4</v>
      </c>
      <c r="W118" s="59">
        <f t="shared" si="37"/>
        <v>4.2142710432277122E-4</v>
      </c>
      <c r="X118" s="59">
        <f t="shared" si="38"/>
        <v>4.0885481727556509E-4</v>
      </c>
      <c r="Y118" s="60">
        <f t="shared" si="39"/>
        <v>3.5032954748223747E-4</v>
      </c>
      <c r="Z118" s="60">
        <f t="shared" si="40"/>
        <v>4.6262701778309879E-4</v>
      </c>
      <c r="AB118" s="68"/>
      <c r="AC118" s="59">
        <f t="shared" si="41"/>
        <v>0.22747512681237847</v>
      </c>
      <c r="AD118" s="59">
        <f t="shared" si="41"/>
        <v>0.11928991716419257</v>
      </c>
      <c r="AE118" s="59">
        <f t="shared" si="41"/>
        <v>0.7290524216493055</v>
      </c>
      <c r="AF118" s="59">
        <f t="shared" si="41"/>
        <v>-0.77596692692773506</v>
      </c>
      <c r="AG118" s="59">
        <f t="shared" si="28"/>
        <v>0.87192053977448447</v>
      </c>
      <c r="AH118" s="59">
        <f t="shared" si="28"/>
        <v>3.4943254504981756</v>
      </c>
      <c r="AI118" s="59">
        <f t="shared" si="28"/>
        <v>-0.38762412367949095</v>
      </c>
      <c r="AJ118" s="59">
        <f t="shared" si="28"/>
        <v>0.25446463583528844</v>
      </c>
      <c r="AK118" s="59">
        <f t="shared" si="54"/>
        <v>0.17527471681563589</v>
      </c>
      <c r="AL118" s="60">
        <f t="shared" si="54"/>
        <v>-0.15318657496761845</v>
      </c>
      <c r="AM118" s="65">
        <f t="shared" si="42"/>
        <v>0.45550251829746158</v>
      </c>
      <c r="AO118" s="68"/>
      <c r="AP118" s="59">
        <f t="shared" si="43"/>
        <v>0.12871276028724465</v>
      </c>
      <c r="AQ118" s="59">
        <f t="shared" si="44"/>
        <v>3.9749110231483975E-2</v>
      </c>
      <c r="AR118" s="59">
        <f t="shared" si="45"/>
        <v>0.61608787891326799</v>
      </c>
      <c r="AS118" s="59">
        <f t="shared" si="46"/>
        <v>-0.78962055303571699</v>
      </c>
      <c r="AT118" s="59">
        <f t="shared" si="47"/>
        <v>0.77437393099495799</v>
      </c>
      <c r="AU118" s="59">
        <f t="shared" si="48"/>
        <v>3.2863280351843001</v>
      </c>
      <c r="AV118" s="59">
        <f t="shared" si="49"/>
        <v>-0.41388220107148821</v>
      </c>
      <c r="AW118" s="59">
        <f t="shared" si="50"/>
        <v>0.18692840934363564</v>
      </c>
      <c r="AX118" s="59">
        <f t="shared" si="51"/>
        <v>9.1552630087894382E-2</v>
      </c>
      <c r="AY118" s="59">
        <f t="shared" si="52"/>
        <v>-0.16979075977217495</v>
      </c>
      <c r="AZ118" s="65">
        <f t="shared" si="53"/>
        <v>0.37504392411634047</v>
      </c>
    </row>
    <row r="119" spans="1:52" ht="25.5">
      <c r="A119" s="515" t="s">
        <v>169</v>
      </c>
      <c r="B119" s="495">
        <v>4566727</v>
      </c>
      <c r="C119" s="496">
        <v>4255064</v>
      </c>
      <c r="D119" s="496">
        <v>236310</v>
      </c>
      <c r="E119" s="496">
        <v>387679</v>
      </c>
      <c r="F119" s="496">
        <v>525798</v>
      </c>
      <c r="G119" s="496">
        <v>577348</v>
      </c>
      <c r="H119" s="496">
        <v>800632</v>
      </c>
      <c r="I119" s="496">
        <v>761148</v>
      </c>
      <c r="J119" s="496">
        <v>856748</v>
      </c>
      <c r="K119" s="496">
        <v>433615</v>
      </c>
      <c r="L119" s="497">
        <v>759987</v>
      </c>
      <c r="M119" s="463"/>
      <c r="O119" s="58">
        <f t="shared" si="29"/>
        <v>1.1926180553945161E-3</v>
      </c>
      <c r="P119" s="59">
        <f t="shared" si="30"/>
        <v>7.1027816931850231E-4</v>
      </c>
      <c r="Q119" s="59">
        <f t="shared" si="31"/>
        <v>2.1917264780306716E-5</v>
      </c>
      <c r="R119" s="59">
        <f t="shared" si="32"/>
        <v>4.1157128593211809E-5</v>
      </c>
      <c r="S119" s="59">
        <f t="shared" si="33"/>
        <v>4.4422996404741135E-5</v>
      </c>
      <c r="T119" s="59">
        <f t="shared" si="34"/>
        <v>4.1154826600423667E-5</v>
      </c>
      <c r="U119" s="59">
        <f t="shared" si="35"/>
        <v>5.3680859790688679E-5</v>
      </c>
      <c r="V119" s="59">
        <f t="shared" si="36"/>
        <v>3.7898970950684337E-5</v>
      </c>
      <c r="W119" s="59">
        <f t="shared" si="37"/>
        <v>3.7558552866247021E-5</v>
      </c>
      <c r="X119" s="59">
        <f t="shared" si="38"/>
        <v>1.5691602937139102E-5</v>
      </c>
      <c r="Y119" s="60">
        <f t="shared" si="39"/>
        <v>2.7828454696081759E-5</v>
      </c>
      <c r="Z119" s="60">
        <f t="shared" si="40"/>
        <v>2.0220062566659477E-4</v>
      </c>
      <c r="AB119" s="68"/>
      <c r="AC119" s="59">
        <f t="shared" si="41"/>
        <v>-6.8246470612322585E-2</v>
      </c>
      <c r="AD119" s="59">
        <f t="shared" si="41"/>
        <v>-0.94446382005065022</v>
      </c>
      <c r="AE119" s="59">
        <f t="shared" si="41"/>
        <v>0.64055266387372511</v>
      </c>
      <c r="AF119" s="59">
        <f t="shared" si="41"/>
        <v>0.35627155455931314</v>
      </c>
      <c r="AG119" s="59">
        <f t="shared" si="28"/>
        <v>9.8041453181640037E-2</v>
      </c>
      <c r="AH119" s="59">
        <f t="shared" si="28"/>
        <v>0.38674075254439266</v>
      </c>
      <c r="AI119" s="59">
        <f t="shared" si="28"/>
        <v>-4.9316040328140742E-2</v>
      </c>
      <c r="AJ119" s="59">
        <f t="shared" si="28"/>
        <v>0.12559975195362805</v>
      </c>
      <c r="AK119" s="59">
        <f t="shared" si="54"/>
        <v>-0.49388268195548746</v>
      </c>
      <c r="AL119" s="60">
        <f t="shared" si="54"/>
        <v>0.75267691385214985</v>
      </c>
      <c r="AM119" s="65">
        <f t="shared" si="42"/>
        <v>8.0397407701824783E-2</v>
      </c>
      <c r="AO119" s="68"/>
      <c r="AP119" s="59">
        <f t="shared" si="43"/>
        <v>-0.1432151453906414</v>
      </c>
      <c r="AQ119" s="59">
        <f t="shared" si="44"/>
        <v>-0.94841042271309817</v>
      </c>
      <c r="AR119" s="59">
        <f t="shared" si="45"/>
        <v>0.53337009428332083</v>
      </c>
      <c r="AS119" s="59">
        <f t="shared" si="46"/>
        <v>0.2736140055961247</v>
      </c>
      <c r="AT119" s="59">
        <f t="shared" si="47"/>
        <v>4.0822026511896814E-2</v>
      </c>
      <c r="AU119" s="59">
        <f t="shared" si="48"/>
        <v>0.32256238019094408</v>
      </c>
      <c r="AV119" s="59">
        <f t="shared" si="49"/>
        <v>-9.0080436761237226E-2</v>
      </c>
      <c r="AW119" s="59">
        <f t="shared" si="50"/>
        <v>6.5001184552585967E-2</v>
      </c>
      <c r="AX119" s="59">
        <f t="shared" si="51"/>
        <v>-0.52993654867232043</v>
      </c>
      <c r="AY119" s="59">
        <f t="shared" si="52"/>
        <v>0.71831069985504881</v>
      </c>
      <c r="AZ119" s="65">
        <f t="shared" si="53"/>
        <v>2.4203783745262386E-2</v>
      </c>
    </row>
    <row r="120" spans="1:52" ht="38.25">
      <c r="A120" s="515" t="s">
        <v>30</v>
      </c>
      <c r="B120" s="495">
        <v>26990888</v>
      </c>
      <c r="C120" s="496">
        <v>21323700</v>
      </c>
      <c r="D120" s="496">
        <v>17096725</v>
      </c>
      <c r="E120" s="496">
        <v>24723037</v>
      </c>
      <c r="F120" s="496">
        <v>48615486</v>
      </c>
      <c r="G120" s="496">
        <v>330220941</v>
      </c>
      <c r="H120" s="496">
        <v>193645273</v>
      </c>
      <c r="I120" s="496">
        <v>855778062</v>
      </c>
      <c r="J120" s="496">
        <v>330832979</v>
      </c>
      <c r="K120" s="496">
        <v>632561964</v>
      </c>
      <c r="L120" s="497">
        <v>166705013.56</v>
      </c>
      <c r="M120" s="463"/>
      <c r="O120" s="58">
        <f t="shared" si="29"/>
        <v>7.0487726461273426E-3</v>
      </c>
      <c r="P120" s="59">
        <f t="shared" si="30"/>
        <v>3.5594666964108997E-3</v>
      </c>
      <c r="Q120" s="59">
        <f t="shared" si="31"/>
        <v>1.5856859578565839E-3</v>
      </c>
      <c r="R120" s="59">
        <f t="shared" si="32"/>
        <v>2.6246694121263557E-3</v>
      </c>
      <c r="S120" s="59">
        <f t="shared" si="33"/>
        <v>4.1073673916461129E-3</v>
      </c>
      <c r="T120" s="59">
        <f t="shared" si="34"/>
        <v>2.3538984402273387E-2</v>
      </c>
      <c r="U120" s="59">
        <f t="shared" si="35"/>
        <v>1.2983548932646499E-2</v>
      </c>
      <c r="V120" s="59">
        <f t="shared" si="36"/>
        <v>4.2610777289004163E-2</v>
      </c>
      <c r="W120" s="59">
        <f t="shared" si="37"/>
        <v>1.4503223738683358E-2</v>
      </c>
      <c r="X120" s="59">
        <f t="shared" si="38"/>
        <v>2.2891069663699085E-2</v>
      </c>
      <c r="Y120" s="60">
        <f t="shared" si="39"/>
        <v>6.1042398323447053E-3</v>
      </c>
      <c r="Z120" s="60">
        <f t="shared" si="40"/>
        <v>1.2868891451165319E-2</v>
      </c>
      <c r="AB120" s="68"/>
      <c r="AC120" s="59">
        <f t="shared" si="41"/>
        <v>-0.20996671172878789</v>
      </c>
      <c r="AD120" s="59">
        <f t="shared" si="41"/>
        <v>-0.19822896589241079</v>
      </c>
      <c r="AE120" s="59">
        <f t="shared" si="41"/>
        <v>0.44606858915961967</v>
      </c>
      <c r="AF120" s="59">
        <f t="shared" si="41"/>
        <v>0.96640428924650323</v>
      </c>
      <c r="AG120" s="59">
        <f t="shared" si="28"/>
        <v>5.7925051906299982</v>
      </c>
      <c r="AH120" s="59">
        <f t="shared" si="28"/>
        <v>-0.41358875541451501</v>
      </c>
      <c r="AI120" s="59">
        <f t="shared" si="28"/>
        <v>3.419307782431642</v>
      </c>
      <c r="AJ120" s="59">
        <f t="shared" si="28"/>
        <v>-0.61341264319533351</v>
      </c>
      <c r="AK120" s="59">
        <f t="shared" si="54"/>
        <v>0.91202813550217443</v>
      </c>
      <c r="AL120" s="60">
        <f t="shared" si="54"/>
        <v>-0.73646057928326525</v>
      </c>
      <c r="AM120" s="65">
        <f t="shared" si="42"/>
        <v>0.93646563314556241</v>
      </c>
      <c r="AO120" s="68"/>
      <c r="AP120" s="59">
        <f t="shared" si="43"/>
        <v>-0.27353260848624172</v>
      </c>
      <c r="AQ120" s="59">
        <f t="shared" si="44"/>
        <v>-0.25520572772170069</v>
      </c>
      <c r="AR120" s="59">
        <f t="shared" si="45"/>
        <v>0.35159228821349608</v>
      </c>
      <c r="AS120" s="59">
        <f t="shared" si="46"/>
        <v>0.84656239012724521</v>
      </c>
      <c r="AT120" s="59">
        <f t="shared" si="47"/>
        <v>5.4385447353731147</v>
      </c>
      <c r="AU120" s="59">
        <f t="shared" si="48"/>
        <v>-0.44072787218035891</v>
      </c>
      <c r="AV120" s="59">
        <f t="shared" si="49"/>
        <v>3.2298121960486625</v>
      </c>
      <c r="AW120" s="59">
        <f t="shared" si="50"/>
        <v>-0.63422522773709289</v>
      </c>
      <c r="AX120" s="59">
        <f t="shared" si="51"/>
        <v>0.77582254620801927</v>
      </c>
      <c r="AY120" s="59">
        <f t="shared" si="52"/>
        <v>-0.74162801890516206</v>
      </c>
      <c r="AZ120" s="65">
        <f t="shared" si="53"/>
        <v>0.82970147009399819</v>
      </c>
    </row>
    <row r="121" spans="1:52" ht="25.5">
      <c r="A121" s="515" t="s">
        <v>170</v>
      </c>
      <c r="B121" s="495"/>
      <c r="C121" s="496">
        <v>1417762</v>
      </c>
      <c r="D121" s="496">
        <v>1264837</v>
      </c>
      <c r="E121" s="496">
        <v>1417755</v>
      </c>
      <c r="F121" s="496">
        <v>1376479</v>
      </c>
      <c r="G121" s="496"/>
      <c r="H121" s="496">
        <v>258048</v>
      </c>
      <c r="I121" s="496">
        <v>70591</v>
      </c>
      <c r="J121" s="496">
        <v>368801</v>
      </c>
      <c r="K121" s="496"/>
      <c r="L121" s="497">
        <v>63253</v>
      </c>
      <c r="M121" s="463"/>
      <c r="O121" s="58">
        <f t="shared" si="29"/>
        <v>0</v>
      </c>
      <c r="P121" s="59">
        <f t="shared" si="30"/>
        <v>2.3666045866509611E-4</v>
      </c>
      <c r="Q121" s="59">
        <f t="shared" si="31"/>
        <v>1.1731102125567604E-4</v>
      </c>
      <c r="R121" s="59">
        <f t="shared" si="32"/>
        <v>1.505129884483529E-4</v>
      </c>
      <c r="S121" s="59">
        <f t="shared" si="33"/>
        <v>1.162943215230976E-4</v>
      </c>
      <c r="T121" s="59">
        <f t="shared" si="34"/>
        <v>0</v>
      </c>
      <c r="U121" s="59">
        <f t="shared" si="35"/>
        <v>1.7301629846505801E-5</v>
      </c>
      <c r="V121" s="59">
        <f t="shared" si="36"/>
        <v>3.5148568456854098E-6</v>
      </c>
      <c r="W121" s="59">
        <f t="shared" si="37"/>
        <v>1.6167685078488384E-5</v>
      </c>
      <c r="X121" s="59">
        <f t="shared" si="38"/>
        <v>0</v>
      </c>
      <c r="Y121" s="60">
        <f t="shared" si="39"/>
        <v>2.3161359929725898E-6</v>
      </c>
      <c r="Z121" s="60">
        <f t="shared" si="40"/>
        <v>6.0007190695988626E-5</v>
      </c>
      <c r="AB121" s="68"/>
      <c r="AC121" s="59" t="str">
        <f t="shared" si="41"/>
        <v/>
      </c>
      <c r="AD121" s="59">
        <f t="shared" si="41"/>
        <v>-0.10786366117867452</v>
      </c>
      <c r="AE121" s="59">
        <f t="shared" si="41"/>
        <v>0.12089937280455909</v>
      </c>
      <c r="AF121" s="59">
        <f t="shared" si="41"/>
        <v>-2.9113633878914191E-2</v>
      </c>
      <c r="AG121" s="59">
        <f t="shared" si="28"/>
        <v>-1</v>
      </c>
      <c r="AH121" s="59" t="str">
        <f t="shared" si="28"/>
        <v/>
      </c>
      <c r="AI121" s="59">
        <f t="shared" si="28"/>
        <v>-0.72644236731150791</v>
      </c>
      <c r="AJ121" s="59">
        <f t="shared" si="28"/>
        <v>4.2244762080151856</v>
      </c>
      <c r="AK121" s="59">
        <f t="shared" si="54"/>
        <v>-1</v>
      </c>
      <c r="AL121" s="60" t="str">
        <f t="shared" si="54"/>
        <v/>
      </c>
      <c r="AM121" s="65">
        <f t="shared" si="42"/>
        <v>0.21170798835009258</v>
      </c>
      <c r="AO121" s="68"/>
      <c r="AP121" s="59">
        <f t="shared" si="43"/>
        <v>0</v>
      </c>
      <c r="AQ121" s="59">
        <f t="shared" si="44"/>
        <v>-0.17126210978046863</v>
      </c>
      <c r="AR121" s="59">
        <f t="shared" si="45"/>
        <v>4.7667420136983774E-2</v>
      </c>
      <c r="AS121" s="59">
        <f t="shared" si="46"/>
        <v>-8.8284002140026407E-2</v>
      </c>
      <c r="AT121" s="59">
        <f t="shared" si="47"/>
        <v>-1</v>
      </c>
      <c r="AU121" s="59">
        <f t="shared" si="48"/>
        <v>0</v>
      </c>
      <c r="AV121" s="59">
        <f t="shared" si="49"/>
        <v>-0.73817225048957491</v>
      </c>
      <c r="AW121" s="59">
        <f t="shared" si="50"/>
        <v>3.943207690429734</v>
      </c>
      <c r="AX121" s="59">
        <f t="shared" si="51"/>
        <v>-1</v>
      </c>
      <c r="AY121" s="59">
        <f t="shared" si="52"/>
        <v>0</v>
      </c>
      <c r="AZ121" s="65">
        <f t="shared" si="53"/>
        <v>9.9315674815664765E-2</v>
      </c>
    </row>
    <row r="122" spans="1:52" ht="38.25">
      <c r="A122" s="515" t="s">
        <v>171</v>
      </c>
      <c r="B122" s="495">
        <v>10972484</v>
      </c>
      <c r="C122" s="496">
        <v>39600017</v>
      </c>
      <c r="D122" s="496">
        <v>30393732</v>
      </c>
      <c r="E122" s="496">
        <v>31072003</v>
      </c>
      <c r="F122" s="496">
        <v>31007885</v>
      </c>
      <c r="G122" s="496">
        <v>30390481</v>
      </c>
      <c r="H122" s="496">
        <v>43602780</v>
      </c>
      <c r="I122" s="496">
        <v>81683539</v>
      </c>
      <c r="J122" s="496">
        <v>41942335</v>
      </c>
      <c r="K122" s="496">
        <v>48278894.530000001</v>
      </c>
      <c r="L122" s="497">
        <v>60804640.170000002</v>
      </c>
      <c r="M122" s="463"/>
      <c r="O122" s="58">
        <f t="shared" si="29"/>
        <v>2.8655057617693025E-3</v>
      </c>
      <c r="P122" s="59">
        <f t="shared" si="30"/>
        <v>6.6102478316992577E-3</v>
      </c>
      <c r="Q122" s="59">
        <f t="shared" si="31"/>
        <v>2.8189559134428554E-3</v>
      </c>
      <c r="R122" s="59">
        <f t="shared" si="32"/>
        <v>3.2986940822682248E-3</v>
      </c>
      <c r="S122" s="59">
        <f t="shared" si="33"/>
        <v>2.6197573286197867E-3</v>
      </c>
      <c r="T122" s="59">
        <f t="shared" si="34"/>
        <v>2.1663103983359604E-3</v>
      </c>
      <c r="U122" s="59">
        <f t="shared" si="35"/>
        <v>2.9234838473409064E-3</v>
      </c>
      <c r="V122" s="59">
        <f t="shared" si="36"/>
        <v>4.0671749406292748E-3</v>
      </c>
      <c r="W122" s="59">
        <f t="shared" si="37"/>
        <v>1.8386893303880985E-3</v>
      </c>
      <c r="X122" s="59">
        <f t="shared" si="38"/>
        <v>1.7471103241557071E-3</v>
      </c>
      <c r="Y122" s="60">
        <f t="shared" si="39"/>
        <v>2.2264843665515308E-3</v>
      </c>
      <c r="Z122" s="60">
        <f t="shared" si="40"/>
        <v>3.0165831022909918E-3</v>
      </c>
      <c r="AB122" s="68"/>
      <c r="AC122" s="59">
        <f t="shared" si="41"/>
        <v>2.6090293683727404</v>
      </c>
      <c r="AD122" s="59">
        <f t="shared" si="41"/>
        <v>-0.23248184464163235</v>
      </c>
      <c r="AE122" s="59">
        <f t="shared" si="41"/>
        <v>2.2316147289842547E-2</v>
      </c>
      <c r="AF122" s="59">
        <f t="shared" si="41"/>
        <v>-2.0635296668837233E-3</v>
      </c>
      <c r="AG122" s="59">
        <f t="shared" si="28"/>
        <v>-1.9911193556090612E-2</v>
      </c>
      <c r="AH122" s="59">
        <f t="shared" si="28"/>
        <v>0.43475123016315531</v>
      </c>
      <c r="AI122" s="59">
        <f t="shared" si="28"/>
        <v>0.87335621719532552</v>
      </c>
      <c r="AJ122" s="59">
        <f t="shared" si="28"/>
        <v>-0.48652647138611371</v>
      </c>
      <c r="AK122" s="59">
        <f t="shared" si="54"/>
        <v>0.15107789134772776</v>
      </c>
      <c r="AL122" s="60">
        <f t="shared" si="54"/>
        <v>0.25944557682895231</v>
      </c>
      <c r="AM122" s="65">
        <f t="shared" si="42"/>
        <v>0.36089933919470224</v>
      </c>
      <c r="AO122" s="68"/>
      <c r="AP122" s="59">
        <f t="shared" si="43"/>
        <v>2.3186476950553936</v>
      </c>
      <c r="AQ122" s="59">
        <f t="shared" si="44"/>
        <v>-0.2870244724957105</v>
      </c>
      <c r="AR122" s="59">
        <f t="shared" si="45"/>
        <v>-4.4475046929766782E-2</v>
      </c>
      <c r="AS122" s="59">
        <f t="shared" si="46"/>
        <v>-6.2882458133987851E-2</v>
      </c>
      <c r="AT122" s="59">
        <f t="shared" si="47"/>
        <v>-7.0984055539267898E-2</v>
      </c>
      <c r="AU122" s="59">
        <f t="shared" si="48"/>
        <v>0.36835093254802342</v>
      </c>
      <c r="AV122" s="59">
        <f t="shared" si="49"/>
        <v>0.79302853866321366</v>
      </c>
      <c r="AW122" s="59">
        <f t="shared" si="50"/>
        <v>-0.51417018770566147</v>
      </c>
      <c r="AX122" s="59">
        <f t="shared" si="51"/>
        <v>6.9079494146677689E-2</v>
      </c>
      <c r="AY122" s="59">
        <f t="shared" si="52"/>
        <v>0.23475056551858065</v>
      </c>
      <c r="AZ122" s="65">
        <f t="shared" si="53"/>
        <v>0.28043210051274947</v>
      </c>
    </row>
    <row r="123" spans="1:52" ht="38.25">
      <c r="A123" s="515" t="s">
        <v>31</v>
      </c>
      <c r="B123" s="495">
        <v>21357582</v>
      </c>
      <c r="C123" s="496">
        <v>24054555</v>
      </c>
      <c r="D123" s="496">
        <v>26431886</v>
      </c>
      <c r="E123" s="496">
        <v>32000826</v>
      </c>
      <c r="F123" s="496">
        <v>69852399</v>
      </c>
      <c r="G123" s="496">
        <v>44399121</v>
      </c>
      <c r="H123" s="496">
        <v>57930596</v>
      </c>
      <c r="I123" s="496">
        <v>71632422</v>
      </c>
      <c r="J123" s="496">
        <v>74247861</v>
      </c>
      <c r="K123" s="496">
        <v>81739886.579999998</v>
      </c>
      <c r="L123" s="497">
        <v>72601709.150000006</v>
      </c>
      <c r="M123" s="463"/>
      <c r="O123" s="58">
        <f t="shared" si="29"/>
        <v>5.5776134445454963E-3</v>
      </c>
      <c r="P123" s="59">
        <f t="shared" si="30"/>
        <v>4.0153157012846876E-3</v>
      </c>
      <c r="Q123" s="59">
        <f t="shared" si="31"/>
        <v>2.4515028737881685E-3</v>
      </c>
      <c r="R123" s="59">
        <f t="shared" si="32"/>
        <v>3.397300629569814E-3</v>
      </c>
      <c r="S123" s="59">
        <f t="shared" si="33"/>
        <v>5.9016064527433413E-3</v>
      </c>
      <c r="T123" s="59">
        <f t="shared" si="34"/>
        <v>3.1648817107987367E-3</v>
      </c>
      <c r="U123" s="59">
        <f t="shared" si="35"/>
        <v>3.8841367837746058E-3</v>
      </c>
      <c r="V123" s="59">
        <f t="shared" si="36"/>
        <v>3.5667111790416081E-3</v>
      </c>
      <c r="W123" s="59">
        <f t="shared" si="37"/>
        <v>3.2549153456725433E-3</v>
      </c>
      <c r="X123" s="59">
        <f t="shared" si="38"/>
        <v>2.9579923303855839E-3</v>
      </c>
      <c r="Y123" s="60">
        <f t="shared" si="39"/>
        <v>2.6584578077505005E-3</v>
      </c>
      <c r="Z123" s="60">
        <f t="shared" si="40"/>
        <v>3.7118576599413718E-3</v>
      </c>
      <c r="AB123" s="68"/>
      <c r="AC123" s="59">
        <f t="shared" si="41"/>
        <v>0.1262770757476197</v>
      </c>
      <c r="AD123" s="59">
        <f t="shared" si="41"/>
        <v>9.8830803562984126E-2</v>
      </c>
      <c r="AE123" s="59">
        <f t="shared" si="41"/>
        <v>0.2106902246778759</v>
      </c>
      <c r="AF123" s="59">
        <f t="shared" si="41"/>
        <v>1.1828311244216008</v>
      </c>
      <c r="AG123" s="59">
        <f t="shared" si="28"/>
        <v>-0.36438659751685842</v>
      </c>
      <c r="AH123" s="59">
        <f t="shared" si="28"/>
        <v>0.30476898405263464</v>
      </c>
      <c r="AI123" s="59">
        <f t="shared" si="28"/>
        <v>0.2365214057179732</v>
      </c>
      <c r="AJ123" s="59">
        <f t="shared" si="28"/>
        <v>3.6511944270151808E-2</v>
      </c>
      <c r="AK123" s="59">
        <f t="shared" si="54"/>
        <v>0.10090560831105955</v>
      </c>
      <c r="AL123" s="60">
        <f t="shared" si="54"/>
        <v>-0.11179581734623922</v>
      </c>
      <c r="AM123" s="65">
        <f t="shared" si="42"/>
        <v>0.18211547558988023</v>
      </c>
      <c r="AO123" s="68"/>
      <c r="AP123" s="59">
        <f t="shared" si="43"/>
        <v>3.5657081147236536E-2</v>
      </c>
      <c r="AQ123" s="59">
        <f t="shared" si="44"/>
        <v>2.0743895553166913E-2</v>
      </c>
      <c r="AR123" s="59">
        <f t="shared" si="45"/>
        <v>0.1315919475445142</v>
      </c>
      <c r="AS123" s="59">
        <f t="shared" si="46"/>
        <v>1.0497991590023483</v>
      </c>
      <c r="AT123" s="59">
        <f t="shared" si="47"/>
        <v>-0.39750869356187335</v>
      </c>
      <c r="AU123" s="59">
        <f t="shared" si="48"/>
        <v>0.24438426575534766</v>
      </c>
      <c r="AV123" s="59">
        <f t="shared" si="49"/>
        <v>0.18350057974538014</v>
      </c>
      <c r="AW123" s="59">
        <f t="shared" si="50"/>
        <v>-1.9290430248697255E-2</v>
      </c>
      <c r="AX123" s="59">
        <f t="shared" si="51"/>
        <v>2.2481293128131741E-2</v>
      </c>
      <c r="AY123" s="59">
        <f t="shared" si="52"/>
        <v>-0.12921158563356783</v>
      </c>
      <c r="AZ123" s="65">
        <f t="shared" si="53"/>
        <v>0.11421475124319871</v>
      </c>
    </row>
    <row r="124" spans="1:52" ht="38.25">
      <c r="A124" s="515" t="s">
        <v>32</v>
      </c>
      <c r="B124" s="495">
        <v>11276053</v>
      </c>
      <c r="C124" s="496">
        <v>16157518</v>
      </c>
      <c r="D124" s="496">
        <v>22784334</v>
      </c>
      <c r="E124" s="496">
        <v>23601821</v>
      </c>
      <c r="F124" s="496">
        <v>31608631</v>
      </c>
      <c r="G124" s="496">
        <v>31779527</v>
      </c>
      <c r="H124" s="496">
        <v>24400425</v>
      </c>
      <c r="I124" s="496">
        <v>31661649</v>
      </c>
      <c r="J124" s="496">
        <v>34523800</v>
      </c>
      <c r="K124" s="496">
        <v>37473194.960000001</v>
      </c>
      <c r="L124" s="497">
        <v>31680935.940000001</v>
      </c>
      <c r="M124" s="463"/>
      <c r="O124" s="58">
        <f t="shared" si="29"/>
        <v>2.944783956077405E-3</v>
      </c>
      <c r="P124" s="59">
        <f t="shared" si="30"/>
        <v>2.6970998099607314E-3</v>
      </c>
      <c r="Q124" s="59">
        <f t="shared" si="31"/>
        <v>2.1131999539627812E-3</v>
      </c>
      <c r="R124" s="59">
        <f t="shared" si="32"/>
        <v>2.5056378651692945E-3</v>
      </c>
      <c r="S124" s="59">
        <f t="shared" si="33"/>
        <v>2.6705124425573873E-3</v>
      </c>
      <c r="T124" s="59">
        <f t="shared" si="34"/>
        <v>2.2653251126330777E-3</v>
      </c>
      <c r="U124" s="59">
        <f t="shared" si="35"/>
        <v>1.6360022997559613E-3</v>
      </c>
      <c r="V124" s="59">
        <f t="shared" si="36"/>
        <v>1.5764922402762194E-3</v>
      </c>
      <c r="W124" s="59">
        <f t="shared" si="37"/>
        <v>1.5134718347095514E-3</v>
      </c>
      <c r="X124" s="59">
        <f t="shared" si="38"/>
        <v>1.3560750806552407E-3</v>
      </c>
      <c r="Y124" s="60">
        <f t="shared" si="39"/>
        <v>1.1600612780689123E-3</v>
      </c>
      <c r="Z124" s="60">
        <f t="shared" si="40"/>
        <v>2.0398783521660508E-3</v>
      </c>
      <c r="AB124" s="68"/>
      <c r="AC124" s="59">
        <f t="shared" si="41"/>
        <v>0.43290546789732187</v>
      </c>
      <c r="AD124" s="59">
        <f t="shared" si="41"/>
        <v>0.41013824029160917</v>
      </c>
      <c r="AE124" s="59">
        <f t="shared" si="41"/>
        <v>3.5879345869841872E-2</v>
      </c>
      <c r="AF124" s="59">
        <f t="shared" si="41"/>
        <v>0.33924543364683601</v>
      </c>
      <c r="AG124" s="59">
        <f t="shared" si="28"/>
        <v>5.4066245387216494E-3</v>
      </c>
      <c r="AH124" s="59">
        <f t="shared" si="28"/>
        <v>-0.23219672212239029</v>
      </c>
      <c r="AI124" s="59">
        <f t="shared" si="28"/>
        <v>0.29758596417890271</v>
      </c>
      <c r="AJ124" s="59">
        <f t="shared" si="28"/>
        <v>9.0398039596737423E-2</v>
      </c>
      <c r="AK124" s="59">
        <f t="shared" si="54"/>
        <v>8.5430774132627452E-2</v>
      </c>
      <c r="AL124" s="60">
        <f t="shared" si="54"/>
        <v>-0.15457072785447912</v>
      </c>
      <c r="AM124" s="65">
        <f t="shared" si="42"/>
        <v>0.13102224401757287</v>
      </c>
      <c r="AO124" s="68"/>
      <c r="AP124" s="59">
        <f t="shared" si="43"/>
        <v>0.31761422335385925</v>
      </c>
      <c r="AQ124" s="59">
        <f t="shared" si="44"/>
        <v>0.30992869511528953</v>
      </c>
      <c r="AR124" s="59">
        <f t="shared" si="45"/>
        <v>-3.1797975633384601E-2</v>
      </c>
      <c r="AS124" s="59">
        <f t="shared" si="46"/>
        <v>0.25762553633846941</v>
      </c>
      <c r="AT124" s="59">
        <f t="shared" si="47"/>
        <v>-4.6985560163754103E-2</v>
      </c>
      <c r="AU124" s="59">
        <f t="shared" si="48"/>
        <v>-0.2677306635396417</v>
      </c>
      <c r="AV124" s="59">
        <f t="shared" si="49"/>
        <v>0.24194674978838315</v>
      </c>
      <c r="AW124" s="59">
        <f t="shared" si="50"/>
        <v>3.1694615949226401E-2</v>
      </c>
      <c r="AX124" s="59">
        <f t="shared" si="51"/>
        <v>8.1088270944806862E-3</v>
      </c>
      <c r="AY124" s="59">
        <f t="shared" si="52"/>
        <v>-0.17114777240635204</v>
      </c>
      <c r="AZ124" s="65">
        <f t="shared" si="53"/>
        <v>6.4925667589657593E-2</v>
      </c>
    </row>
    <row r="125" spans="1:52" ht="51">
      <c r="A125" s="515" t="s">
        <v>33</v>
      </c>
      <c r="B125" s="495">
        <v>1151219</v>
      </c>
      <c r="C125" s="496">
        <v>1742017</v>
      </c>
      <c r="D125" s="496">
        <v>1555691</v>
      </c>
      <c r="E125" s="496">
        <v>2018568</v>
      </c>
      <c r="F125" s="496">
        <v>3284068</v>
      </c>
      <c r="G125" s="496">
        <v>3378617</v>
      </c>
      <c r="H125" s="496">
        <v>3118022</v>
      </c>
      <c r="I125" s="496">
        <v>4281860</v>
      </c>
      <c r="J125" s="496">
        <v>5304895</v>
      </c>
      <c r="K125" s="496">
        <v>5557595.0800000001</v>
      </c>
      <c r="L125" s="497">
        <v>6272519.8399999999</v>
      </c>
      <c r="M125" s="463"/>
      <c r="O125" s="58">
        <f t="shared" si="29"/>
        <v>3.0064520281444882E-4</v>
      </c>
      <c r="P125" s="59">
        <f t="shared" si="30"/>
        <v>2.9078684731456673E-4</v>
      </c>
      <c r="Q125" s="59">
        <f t="shared" si="31"/>
        <v>1.4428712946274019E-4</v>
      </c>
      <c r="R125" s="59">
        <f t="shared" si="32"/>
        <v>2.1429704149603763E-4</v>
      </c>
      <c r="S125" s="59">
        <f t="shared" si="33"/>
        <v>2.7746043339252986E-4</v>
      </c>
      <c r="T125" s="59">
        <f t="shared" si="34"/>
        <v>2.4083637041133531E-4</v>
      </c>
      <c r="U125" s="59">
        <f t="shared" si="35"/>
        <v>2.0905747185508784E-4</v>
      </c>
      <c r="V125" s="59">
        <f t="shared" si="36"/>
        <v>2.1320175281929041E-4</v>
      </c>
      <c r="W125" s="59">
        <f t="shared" si="37"/>
        <v>2.3255867455469927E-4</v>
      </c>
      <c r="X125" s="59">
        <f t="shared" si="38"/>
        <v>2.0111752425713554E-4</v>
      </c>
      <c r="Y125" s="60">
        <f t="shared" si="39"/>
        <v>2.2968094743425085E-4</v>
      </c>
      <c r="Z125" s="60">
        <f t="shared" si="40"/>
        <v>2.3217539961928384E-4</v>
      </c>
      <c r="AB125" s="68"/>
      <c r="AC125" s="59">
        <f t="shared" si="41"/>
        <v>0.51319340629367649</v>
      </c>
      <c r="AD125" s="59">
        <f t="shared" si="41"/>
        <v>-0.1069599205977898</v>
      </c>
      <c r="AE125" s="59">
        <f t="shared" si="41"/>
        <v>0.29753787866613624</v>
      </c>
      <c r="AF125" s="59">
        <f t="shared" si="41"/>
        <v>0.62692958572611879</v>
      </c>
      <c r="AG125" s="59">
        <f t="shared" si="28"/>
        <v>2.8790207754528785E-2</v>
      </c>
      <c r="AH125" s="59">
        <f t="shared" si="28"/>
        <v>-7.7130672106367815E-2</v>
      </c>
      <c r="AI125" s="59">
        <f t="shared" si="28"/>
        <v>0.37326163830787595</v>
      </c>
      <c r="AJ125" s="59">
        <f t="shared" si="28"/>
        <v>0.23892303811894822</v>
      </c>
      <c r="AK125" s="59">
        <f t="shared" si="54"/>
        <v>4.7635265165474561E-2</v>
      </c>
      <c r="AL125" s="60">
        <f t="shared" si="54"/>
        <v>0.12863923148571654</v>
      </c>
      <c r="AM125" s="65">
        <f t="shared" si="42"/>
        <v>0.2070819658814318</v>
      </c>
      <c r="AO125" s="68"/>
      <c r="AP125" s="59">
        <f t="shared" si="43"/>
        <v>0.39144221268384061</v>
      </c>
      <c r="AQ125" s="59">
        <f t="shared" si="44"/>
        <v>-0.17042259228777501</v>
      </c>
      <c r="AR125" s="59">
        <f t="shared" si="45"/>
        <v>0.21276556562869064</v>
      </c>
      <c r="AS125" s="59">
        <f t="shared" si="46"/>
        <v>0.52777686705429505</v>
      </c>
      <c r="AT125" s="59">
        <f t="shared" si="47"/>
        <v>-2.4820505830636996E-2</v>
      </c>
      <c r="AU125" s="59">
        <f t="shared" si="48"/>
        <v>-0.11984107147298517</v>
      </c>
      <c r="AV125" s="59">
        <f t="shared" si="49"/>
        <v>0.31437752517981998</v>
      </c>
      <c r="AW125" s="59">
        <f t="shared" si="50"/>
        <v>0.17222351984004947</v>
      </c>
      <c r="AX125" s="59">
        <f t="shared" si="51"/>
        <v>-2.6994274017391517E-2</v>
      </c>
      <c r="AY125" s="59">
        <f t="shared" si="52"/>
        <v>0.10650905047619275</v>
      </c>
      <c r="AZ125" s="65">
        <f t="shared" si="53"/>
        <v>0.13830162972540999</v>
      </c>
    </row>
    <row r="126" spans="1:52" ht="51">
      <c r="A126" s="515" t="s">
        <v>34</v>
      </c>
      <c r="B126" s="495">
        <v>9426546</v>
      </c>
      <c r="C126" s="496">
        <v>15673796</v>
      </c>
      <c r="D126" s="496">
        <v>18814012</v>
      </c>
      <c r="E126" s="496">
        <v>19203140</v>
      </c>
      <c r="F126" s="496">
        <v>37063638</v>
      </c>
      <c r="G126" s="496">
        <v>29194666</v>
      </c>
      <c r="H126" s="496">
        <v>35067133</v>
      </c>
      <c r="I126" s="496">
        <v>38689206</v>
      </c>
      <c r="J126" s="496">
        <v>47561031</v>
      </c>
      <c r="K126" s="496">
        <v>44067895.210000001</v>
      </c>
      <c r="L126" s="497">
        <v>47312112.409999996</v>
      </c>
      <c r="M126" s="463"/>
      <c r="O126" s="58">
        <f t="shared" si="29"/>
        <v>2.4617781968589219E-3</v>
      </c>
      <c r="P126" s="59">
        <f t="shared" si="30"/>
        <v>2.6163543319563851E-3</v>
      </c>
      <c r="Q126" s="59">
        <f t="shared" si="31"/>
        <v>1.7449607828016922E-3</v>
      </c>
      <c r="R126" s="59">
        <f t="shared" si="32"/>
        <v>2.0386611149261357E-3</v>
      </c>
      <c r="S126" s="59">
        <f t="shared" si="33"/>
        <v>3.1313885895736136E-3</v>
      </c>
      <c r="T126" s="59">
        <f t="shared" si="34"/>
        <v>2.0810696787505706E-3</v>
      </c>
      <c r="U126" s="59">
        <f t="shared" si="35"/>
        <v>2.3511848762408096E-3</v>
      </c>
      <c r="V126" s="59">
        <f t="shared" si="36"/>
        <v>1.9264073403583038E-3</v>
      </c>
      <c r="W126" s="59">
        <f t="shared" si="37"/>
        <v>2.0850045721574062E-3</v>
      </c>
      <c r="X126" s="59">
        <f t="shared" si="38"/>
        <v>1.5947232312322548E-3</v>
      </c>
      <c r="Y126" s="60">
        <f t="shared" si="39"/>
        <v>1.7324282872965095E-3</v>
      </c>
      <c r="Z126" s="60">
        <f t="shared" si="40"/>
        <v>2.1603600911047818E-3</v>
      </c>
      <c r="AB126" s="68"/>
      <c r="AC126" s="59">
        <f t="shared" si="41"/>
        <v>0.66272948755567529</v>
      </c>
      <c r="AD126" s="59">
        <f t="shared" si="41"/>
        <v>0.20034814795343769</v>
      </c>
      <c r="AE126" s="59">
        <f t="shared" si="41"/>
        <v>2.0682882523940238E-2</v>
      </c>
      <c r="AF126" s="59">
        <f t="shared" si="41"/>
        <v>0.93008216364615359</v>
      </c>
      <c r="AG126" s="59">
        <f t="shared" si="28"/>
        <v>-0.2123097576120293</v>
      </c>
      <c r="AH126" s="59">
        <f t="shared" si="28"/>
        <v>0.2011486276294443</v>
      </c>
      <c r="AI126" s="59">
        <f t="shared" si="28"/>
        <v>0.10328968153741003</v>
      </c>
      <c r="AJ126" s="59">
        <f t="shared" si="28"/>
        <v>0.22931008199031022</v>
      </c>
      <c r="AK126" s="59">
        <f t="shared" si="54"/>
        <v>-7.3445333638793464E-2</v>
      </c>
      <c r="AL126" s="60">
        <f t="shared" si="54"/>
        <v>7.3618610204551072E-2</v>
      </c>
      <c r="AM126" s="65">
        <f t="shared" si="42"/>
        <v>0.21354545917900997</v>
      </c>
      <c r="AO126" s="68"/>
      <c r="AP126" s="59">
        <f t="shared" si="43"/>
        <v>0.52894665522360951</v>
      </c>
      <c r="AQ126" s="59">
        <f t="shared" si="44"/>
        <v>0.11504704872590588</v>
      </c>
      <c r="AR126" s="59">
        <f t="shared" si="45"/>
        <v>-4.6001605267837919E-2</v>
      </c>
      <c r="AS126" s="59">
        <f t="shared" si="46"/>
        <v>0.81245390519875449</v>
      </c>
      <c r="AT126" s="59">
        <f t="shared" si="47"/>
        <v>-0.25335664517004841</v>
      </c>
      <c r="AU126" s="59">
        <f t="shared" si="48"/>
        <v>0.14555946019898136</v>
      </c>
      <c r="AV126" s="59">
        <f t="shared" si="49"/>
        <v>5.598170131834812E-2</v>
      </c>
      <c r="AW126" s="59">
        <f t="shared" si="50"/>
        <v>0.16312809347176671</v>
      </c>
      <c r="AX126" s="59">
        <f t="shared" si="51"/>
        <v>-0.13944955292912919</v>
      </c>
      <c r="AY126" s="59">
        <f t="shared" si="52"/>
        <v>5.2567264906422606E-2</v>
      </c>
      <c r="AZ126" s="65">
        <f t="shared" si="53"/>
        <v>0.1434876325676773</v>
      </c>
    </row>
    <row r="127" spans="1:52" ht="25.5">
      <c r="A127" s="515" t="s">
        <v>172</v>
      </c>
      <c r="B127" s="495"/>
      <c r="C127" s="496"/>
      <c r="D127" s="496"/>
      <c r="E127" s="496"/>
      <c r="F127" s="496"/>
      <c r="G127" s="496"/>
      <c r="H127" s="496"/>
      <c r="I127" s="496"/>
      <c r="J127" s="496">
        <v>199309</v>
      </c>
      <c r="K127" s="496">
        <v>220418</v>
      </c>
      <c r="L127" s="497">
        <v>1139187</v>
      </c>
      <c r="M127" s="463"/>
      <c r="O127" s="58">
        <f t="shared" si="29"/>
        <v>0</v>
      </c>
      <c r="P127" s="59">
        <f t="shared" si="30"/>
        <v>0</v>
      </c>
      <c r="Q127" s="59">
        <f t="shared" si="31"/>
        <v>0</v>
      </c>
      <c r="R127" s="59">
        <f t="shared" si="32"/>
        <v>0</v>
      </c>
      <c r="S127" s="59">
        <f t="shared" si="33"/>
        <v>0</v>
      </c>
      <c r="T127" s="59">
        <f t="shared" si="34"/>
        <v>0</v>
      </c>
      <c r="U127" s="59">
        <f t="shared" si="35"/>
        <v>0</v>
      </c>
      <c r="V127" s="59">
        <f t="shared" si="36"/>
        <v>0</v>
      </c>
      <c r="W127" s="59">
        <f t="shared" si="37"/>
        <v>8.7374089151288674E-6</v>
      </c>
      <c r="X127" s="59">
        <f t="shared" si="38"/>
        <v>7.9764577705990942E-6</v>
      </c>
      <c r="Y127" s="60">
        <f t="shared" si="39"/>
        <v>4.1713626443432967E-5</v>
      </c>
      <c r="Z127" s="60">
        <f t="shared" si="40"/>
        <v>5.3115902844691749E-6</v>
      </c>
      <c r="AB127" s="68"/>
      <c r="AC127" s="59" t="str">
        <f t="shared" si="41"/>
        <v/>
      </c>
      <c r="AD127" s="59" t="str">
        <f t="shared" si="41"/>
        <v/>
      </c>
      <c r="AE127" s="59" t="str">
        <f t="shared" si="41"/>
        <v/>
      </c>
      <c r="AF127" s="59" t="str">
        <f t="shared" si="41"/>
        <v/>
      </c>
      <c r="AG127" s="59" t="str">
        <f t="shared" si="28"/>
        <v/>
      </c>
      <c r="AH127" s="59" t="str">
        <f t="shared" si="28"/>
        <v/>
      </c>
      <c r="AI127" s="59" t="str">
        <f t="shared" si="28"/>
        <v/>
      </c>
      <c r="AJ127" s="59" t="str">
        <f t="shared" si="28"/>
        <v/>
      </c>
      <c r="AK127" s="59">
        <f t="shared" si="54"/>
        <v>0.10591092223632659</v>
      </c>
      <c r="AL127" s="60">
        <f t="shared" si="54"/>
        <v>4.1683029516645647</v>
      </c>
      <c r="AM127" s="65">
        <f t="shared" si="42"/>
        <v>2.1371069369504454</v>
      </c>
      <c r="AO127" s="68"/>
      <c r="AP127" s="59">
        <f t="shared" si="43"/>
        <v>0</v>
      </c>
      <c r="AQ127" s="59">
        <f t="shared" si="44"/>
        <v>0</v>
      </c>
      <c r="AR127" s="59">
        <f t="shared" si="45"/>
        <v>0</v>
      </c>
      <c r="AS127" s="59">
        <f t="shared" si="46"/>
        <v>0</v>
      </c>
      <c r="AT127" s="59">
        <f t="shared" si="47"/>
        <v>0</v>
      </c>
      <c r="AU127" s="59">
        <f t="shared" si="48"/>
        <v>0</v>
      </c>
      <c r="AV127" s="59">
        <f t="shared" si="49"/>
        <v>0</v>
      </c>
      <c r="AW127" s="59">
        <f t="shared" si="50"/>
        <v>0</v>
      </c>
      <c r="AX127" s="59">
        <f t="shared" si="51"/>
        <v>2.7130047586446215E-2</v>
      </c>
      <c r="AY127" s="59">
        <f t="shared" si="52"/>
        <v>4.066963678102514</v>
      </c>
      <c r="AZ127" s="65">
        <f t="shared" si="53"/>
        <v>0.40940937256889604</v>
      </c>
    </row>
    <row r="128" spans="1:52" ht="38.25">
      <c r="A128" s="515" t="s">
        <v>35</v>
      </c>
      <c r="B128" s="495">
        <v>55916794</v>
      </c>
      <c r="C128" s="496">
        <v>43865566</v>
      </c>
      <c r="D128" s="496">
        <v>70337689</v>
      </c>
      <c r="E128" s="496">
        <v>66109137</v>
      </c>
      <c r="F128" s="496">
        <v>101111494</v>
      </c>
      <c r="G128" s="496">
        <v>104694500</v>
      </c>
      <c r="H128" s="496">
        <v>137191842</v>
      </c>
      <c r="I128" s="496">
        <v>199904582</v>
      </c>
      <c r="J128" s="496">
        <v>177145509</v>
      </c>
      <c r="K128" s="496">
        <v>297209078.89999998</v>
      </c>
      <c r="L128" s="497">
        <v>350537113.81</v>
      </c>
      <c r="M128" s="463"/>
      <c r="O128" s="58">
        <f t="shared" si="29"/>
        <v>1.4602882573049746E-2</v>
      </c>
      <c r="P128" s="59">
        <f t="shared" si="30"/>
        <v>7.3222762136127542E-3</v>
      </c>
      <c r="Q128" s="59">
        <f t="shared" si="31"/>
        <v>6.5236754849471758E-3</v>
      </c>
      <c r="R128" s="59">
        <f t="shared" si="32"/>
        <v>7.0183379876012286E-3</v>
      </c>
      <c r="S128" s="59">
        <f t="shared" si="33"/>
        <v>8.5425877132282828E-3</v>
      </c>
      <c r="T128" s="59">
        <f t="shared" si="34"/>
        <v>7.4628889223103843E-3</v>
      </c>
      <c r="U128" s="59">
        <f t="shared" si="35"/>
        <v>9.1984532654556823E-3</v>
      </c>
      <c r="V128" s="59">
        <f t="shared" si="36"/>
        <v>9.9536199873437176E-3</v>
      </c>
      <c r="W128" s="59">
        <f t="shared" si="37"/>
        <v>7.7657945682916528E-3</v>
      </c>
      <c r="X128" s="59">
        <f t="shared" si="38"/>
        <v>1.075536329557706E-2</v>
      </c>
      <c r="Y128" s="60">
        <f t="shared" si="39"/>
        <v>1.2835622439537571E-2</v>
      </c>
      <c r="Z128" s="60">
        <f t="shared" si="40"/>
        <v>9.2710456773595681E-3</v>
      </c>
      <c r="AB128" s="68"/>
      <c r="AC128" s="59">
        <f t="shared" si="41"/>
        <v>-0.21552072531196975</v>
      </c>
      <c r="AD128" s="59">
        <f t="shared" si="41"/>
        <v>0.60348299164770847</v>
      </c>
      <c r="AE128" s="59">
        <f t="shared" si="41"/>
        <v>-6.0117869382942057E-2</v>
      </c>
      <c r="AF128" s="59">
        <f t="shared" si="41"/>
        <v>0.52946322684563252</v>
      </c>
      <c r="AG128" s="59">
        <f t="shared" ref="AG128:AJ191" si="55">+IF(F128=0,"",G128/F128-1)</f>
        <v>3.5436188886695641E-2</v>
      </c>
      <c r="AH128" s="59">
        <f t="shared" si="55"/>
        <v>0.31040161613074235</v>
      </c>
      <c r="AI128" s="59">
        <f t="shared" si="55"/>
        <v>0.45711712216824085</v>
      </c>
      <c r="AJ128" s="59">
        <f t="shared" si="55"/>
        <v>-0.11384968154456809</v>
      </c>
      <c r="AK128" s="59">
        <f t="shared" si="54"/>
        <v>0.67776807088008062</v>
      </c>
      <c r="AL128" s="60">
        <f t="shared" si="54"/>
        <v>0.17942936032564116</v>
      </c>
      <c r="AM128" s="65">
        <f t="shared" si="42"/>
        <v>0.24036103006452619</v>
      </c>
      <c r="AO128" s="68"/>
      <c r="AP128" s="59">
        <f t="shared" si="43"/>
        <v>-0.27863974741330544</v>
      </c>
      <c r="AQ128" s="59">
        <f t="shared" si="44"/>
        <v>0.48953366618458749</v>
      </c>
      <c r="AR128" s="59">
        <f t="shared" si="45"/>
        <v>-0.12152338478637459</v>
      </c>
      <c r="AS128" s="59">
        <f t="shared" si="46"/>
        <v>0.43625056516633731</v>
      </c>
      <c r="AT128" s="59">
        <f t="shared" si="47"/>
        <v>-1.8520849720115362E-2</v>
      </c>
      <c r="AU128" s="59">
        <f t="shared" si="48"/>
        <v>0.24975621957893979</v>
      </c>
      <c r="AV128" s="59">
        <f t="shared" si="49"/>
        <v>0.39463736807833172</v>
      </c>
      <c r="AW128" s="59">
        <f t="shared" si="50"/>
        <v>-0.1615570834937724</v>
      </c>
      <c r="AX128" s="59">
        <f t="shared" si="51"/>
        <v>0.5582502748027125</v>
      </c>
      <c r="AY128" s="59">
        <f t="shared" si="52"/>
        <v>0.15630329443690316</v>
      </c>
      <c r="AZ128" s="65">
        <f t="shared" si="53"/>
        <v>0.1704490322834244</v>
      </c>
    </row>
    <row r="129" spans="1:52" ht="51">
      <c r="A129" s="515" t="s">
        <v>36</v>
      </c>
      <c r="B129" s="495">
        <v>274690308</v>
      </c>
      <c r="C129" s="496">
        <v>340947479</v>
      </c>
      <c r="D129" s="496">
        <v>424819862</v>
      </c>
      <c r="E129" s="496">
        <v>595698256</v>
      </c>
      <c r="F129" s="496">
        <v>774924392</v>
      </c>
      <c r="G129" s="496">
        <v>1055584788</v>
      </c>
      <c r="H129" s="496">
        <v>985169271</v>
      </c>
      <c r="I129" s="496">
        <v>2055220350</v>
      </c>
      <c r="J129" s="496">
        <v>1771646521</v>
      </c>
      <c r="K129" s="496">
        <v>2233225952.6399999</v>
      </c>
      <c r="L129" s="497">
        <v>1712436386.8499999</v>
      </c>
      <c r="M129" s="463"/>
      <c r="O129" s="58">
        <f t="shared" si="29"/>
        <v>7.173641449613273E-2</v>
      </c>
      <c r="P129" s="59">
        <f t="shared" si="30"/>
        <v>5.6912787026911583E-2</v>
      </c>
      <c r="Q129" s="59">
        <f t="shared" si="31"/>
        <v>3.940116541571393E-2</v>
      </c>
      <c r="R129" s="59">
        <f t="shared" si="32"/>
        <v>6.3241056969668225E-2</v>
      </c>
      <c r="S129" s="59">
        <f t="shared" si="33"/>
        <v>6.5470890873990037E-2</v>
      </c>
      <c r="T129" s="59">
        <f t="shared" si="34"/>
        <v>7.5244755177440614E-2</v>
      </c>
      <c r="U129" s="59">
        <f t="shared" si="35"/>
        <v>6.6053734433105318E-2</v>
      </c>
      <c r="V129" s="59">
        <f t="shared" si="36"/>
        <v>0.10233323393335501</v>
      </c>
      <c r="W129" s="59">
        <f t="shared" si="37"/>
        <v>7.766633773207654E-2</v>
      </c>
      <c r="X129" s="59">
        <f t="shared" si="38"/>
        <v>8.0815688843192901E-2</v>
      </c>
      <c r="Y129" s="60">
        <f t="shared" si="39"/>
        <v>6.2704307325489983E-2</v>
      </c>
      <c r="Z129" s="60">
        <f t="shared" si="40"/>
        <v>6.9234579293370624E-2</v>
      </c>
      <c r="AB129" s="68"/>
      <c r="AC129" s="59">
        <f t="shared" si="41"/>
        <v>0.24120680297173069</v>
      </c>
      <c r="AD129" s="59">
        <f t="shared" si="41"/>
        <v>0.24599795618374398</v>
      </c>
      <c r="AE129" s="59">
        <f t="shared" si="41"/>
        <v>0.40223729934736441</v>
      </c>
      <c r="AF129" s="59">
        <f t="shared" si="41"/>
        <v>0.30086731695920887</v>
      </c>
      <c r="AG129" s="59">
        <f t="shared" si="55"/>
        <v>0.3621777800485082</v>
      </c>
      <c r="AH129" s="59">
        <f t="shared" si="55"/>
        <v>-6.6707589764925634E-2</v>
      </c>
      <c r="AI129" s="59">
        <f t="shared" si="55"/>
        <v>1.0861596179444781</v>
      </c>
      <c r="AJ129" s="59">
        <f t="shared" si="55"/>
        <v>-0.1379773361041311</v>
      </c>
      <c r="AK129" s="59">
        <f t="shared" si="54"/>
        <v>0.26053697855002289</v>
      </c>
      <c r="AL129" s="60">
        <f t="shared" si="54"/>
        <v>-0.23320057031145924</v>
      </c>
      <c r="AM129" s="65">
        <f t="shared" si="42"/>
        <v>0.24612982558245414</v>
      </c>
      <c r="AO129" s="68"/>
      <c r="AP129" s="59">
        <f t="shared" si="43"/>
        <v>0.14133958893952259</v>
      </c>
      <c r="AQ129" s="59">
        <f t="shared" si="44"/>
        <v>0.15745281577681736</v>
      </c>
      <c r="AR129" s="59">
        <f t="shared" si="45"/>
        <v>0.31062463720662148</v>
      </c>
      <c r="AS129" s="59">
        <f t="shared" si="46"/>
        <v>0.22158636206142268</v>
      </c>
      <c r="AT129" s="59">
        <f t="shared" si="47"/>
        <v>0.29119409234637761</v>
      </c>
      <c r="AU129" s="59">
        <f t="shared" si="48"/>
        <v>-0.10990036945991533</v>
      </c>
      <c r="AV129" s="59">
        <f t="shared" si="49"/>
        <v>0.99670713815512846</v>
      </c>
      <c r="AW129" s="59">
        <f t="shared" si="50"/>
        <v>-0.18438578494098878</v>
      </c>
      <c r="AX129" s="59">
        <f t="shared" si="51"/>
        <v>0.17074113360269605</v>
      </c>
      <c r="AY129" s="59">
        <f t="shared" si="52"/>
        <v>-0.24823585324652864</v>
      </c>
      <c r="AZ129" s="65">
        <f t="shared" si="53"/>
        <v>0.17471237604411533</v>
      </c>
    </row>
    <row r="130" spans="1:52" ht="38.25">
      <c r="A130" s="515" t="s">
        <v>37</v>
      </c>
      <c r="B130" s="495">
        <v>57500224</v>
      </c>
      <c r="C130" s="496">
        <v>121348951</v>
      </c>
      <c r="D130" s="496">
        <v>94256606</v>
      </c>
      <c r="E130" s="496">
        <v>146956337</v>
      </c>
      <c r="F130" s="496">
        <v>190603163</v>
      </c>
      <c r="G130" s="496">
        <v>221148802</v>
      </c>
      <c r="H130" s="496">
        <v>278796578</v>
      </c>
      <c r="I130" s="496">
        <v>337494142</v>
      </c>
      <c r="J130" s="496">
        <v>420640698</v>
      </c>
      <c r="K130" s="496">
        <v>493909450.58999997</v>
      </c>
      <c r="L130" s="497">
        <v>471717967.92000002</v>
      </c>
      <c r="M130" s="463"/>
      <c r="O130" s="58">
        <f t="shared" si="29"/>
        <v>1.5016401315784605E-2</v>
      </c>
      <c r="P130" s="59">
        <f t="shared" si="30"/>
        <v>2.0256219592701928E-2</v>
      </c>
      <c r="Q130" s="59">
        <f t="shared" si="31"/>
        <v>8.7421056704965784E-3</v>
      </c>
      <c r="R130" s="59">
        <f t="shared" si="32"/>
        <v>1.5601311547688604E-2</v>
      </c>
      <c r="S130" s="59">
        <f t="shared" si="33"/>
        <v>1.6103453464412738E-2</v>
      </c>
      <c r="T130" s="59">
        <f t="shared" si="34"/>
        <v>1.5764046293052763E-2</v>
      </c>
      <c r="U130" s="59">
        <f t="shared" si="35"/>
        <v>1.8692782718829373E-2</v>
      </c>
      <c r="V130" s="59">
        <f t="shared" si="36"/>
        <v>1.6804459426660957E-2</v>
      </c>
      <c r="W130" s="59">
        <f t="shared" si="37"/>
        <v>1.8440260022232962E-2</v>
      </c>
      <c r="X130" s="59">
        <f t="shared" si="38"/>
        <v>1.787353063330098E-2</v>
      </c>
      <c r="Y130" s="60">
        <f t="shared" si="39"/>
        <v>1.7272903483335201E-2</v>
      </c>
      <c r="Z130" s="60">
        <f t="shared" si="40"/>
        <v>1.6415224924408792E-2</v>
      </c>
      <c r="AB130" s="68"/>
      <c r="AC130" s="59">
        <f t="shared" si="41"/>
        <v>1.1104083177136839</v>
      </c>
      <c r="AD130" s="59">
        <f t="shared" si="41"/>
        <v>-0.22325982035065139</v>
      </c>
      <c r="AE130" s="59">
        <f t="shared" si="41"/>
        <v>0.55910915145830731</v>
      </c>
      <c r="AF130" s="59">
        <f t="shared" si="41"/>
        <v>0.29700540235974993</v>
      </c>
      <c r="AG130" s="59">
        <f t="shared" si="55"/>
        <v>0.16025777599503943</v>
      </c>
      <c r="AH130" s="59">
        <f t="shared" si="55"/>
        <v>0.26067415006842309</v>
      </c>
      <c r="AI130" s="59">
        <f t="shared" si="55"/>
        <v>0.21053904040386029</v>
      </c>
      <c r="AJ130" s="59">
        <f t="shared" si="55"/>
        <v>0.24636444208267183</v>
      </c>
      <c r="AK130" s="59">
        <f t="shared" si="54"/>
        <v>0.17418369867292283</v>
      </c>
      <c r="AL130" s="60">
        <f t="shared" si="54"/>
        <v>-4.4930265342141396E-2</v>
      </c>
      <c r="AM130" s="65">
        <f t="shared" si="42"/>
        <v>0.27503518930618653</v>
      </c>
      <c r="AO130" s="68"/>
      <c r="AP130" s="59">
        <f t="shared" si="43"/>
        <v>0.94060534962177833</v>
      </c>
      <c r="AQ130" s="59">
        <f t="shared" si="44"/>
        <v>-0.27845779874654097</v>
      </c>
      <c r="AR130" s="59">
        <f t="shared" si="45"/>
        <v>0.45724754786270427</v>
      </c>
      <c r="AS130" s="59">
        <f t="shared" si="46"/>
        <v>0.21795981064865244</v>
      </c>
      <c r="AT130" s="59">
        <f t="shared" si="47"/>
        <v>9.9796229175308282E-2</v>
      </c>
      <c r="AU130" s="59">
        <f t="shared" si="48"/>
        <v>0.20233014101625635</v>
      </c>
      <c r="AV130" s="59">
        <f t="shared" si="49"/>
        <v>0.15863231279083112</v>
      </c>
      <c r="AW130" s="59">
        <f t="shared" si="50"/>
        <v>0.17926430322894493</v>
      </c>
      <c r="AX130" s="59">
        <f t="shared" si="51"/>
        <v>9.0539331915039378E-2</v>
      </c>
      <c r="AY130" s="59">
        <f t="shared" si="52"/>
        <v>-6.3657122884452355E-2</v>
      </c>
      <c r="AZ130" s="65">
        <f t="shared" si="53"/>
        <v>0.20042601046285219</v>
      </c>
    </row>
    <row r="131" spans="1:52" ht="51">
      <c r="A131" s="515" t="s">
        <v>38</v>
      </c>
      <c r="B131" s="495">
        <v>47592094</v>
      </c>
      <c r="C131" s="496">
        <v>57878254</v>
      </c>
      <c r="D131" s="496">
        <v>71811197</v>
      </c>
      <c r="E131" s="496">
        <v>91796334</v>
      </c>
      <c r="F131" s="496">
        <v>117174758</v>
      </c>
      <c r="G131" s="496">
        <v>131589954</v>
      </c>
      <c r="H131" s="496">
        <v>156462247</v>
      </c>
      <c r="I131" s="496">
        <v>185945604</v>
      </c>
      <c r="J131" s="496">
        <v>188050798</v>
      </c>
      <c r="K131" s="496">
        <v>289753890.99000001</v>
      </c>
      <c r="L131" s="497">
        <v>201856077.59</v>
      </c>
      <c r="M131" s="463"/>
      <c r="O131" s="58">
        <f t="shared" si="29"/>
        <v>1.2428855633024051E-2</v>
      </c>
      <c r="P131" s="59">
        <f t="shared" si="30"/>
        <v>9.6613494637145959E-3</v>
      </c>
      <c r="Q131" s="59">
        <f t="shared" si="31"/>
        <v>6.6603403107772302E-3</v>
      </c>
      <c r="R131" s="59">
        <f t="shared" si="32"/>
        <v>9.7453654255799799E-3</v>
      </c>
      <c r="S131" s="59">
        <f t="shared" si="33"/>
        <v>9.8997216675613311E-3</v>
      </c>
      <c r="T131" s="59">
        <f t="shared" si="34"/>
        <v>9.3800649508229469E-3</v>
      </c>
      <c r="U131" s="59">
        <f t="shared" si="35"/>
        <v>1.0490497436703879E-2</v>
      </c>
      <c r="V131" s="59">
        <f t="shared" si="36"/>
        <v>9.2585765769646038E-3</v>
      </c>
      <c r="W131" s="59">
        <f t="shared" si="37"/>
        <v>8.2438661522675743E-3</v>
      </c>
      <c r="X131" s="59">
        <f t="shared" si="38"/>
        <v>1.0485575930044318E-2</v>
      </c>
      <c r="Y131" s="60">
        <f t="shared" si="39"/>
        <v>7.3913668396197296E-3</v>
      </c>
      <c r="Z131" s="60">
        <f t="shared" si="40"/>
        <v>9.4223254897345676E-3</v>
      </c>
      <c r="AB131" s="68"/>
      <c r="AC131" s="59">
        <f t="shared" si="41"/>
        <v>0.21613169615945038</v>
      </c>
      <c r="AD131" s="59">
        <f t="shared" si="41"/>
        <v>0.24072846081362442</v>
      </c>
      <c r="AE131" s="59">
        <f t="shared" si="41"/>
        <v>0.27830112621573488</v>
      </c>
      <c r="AF131" s="59">
        <f t="shared" si="41"/>
        <v>0.27646446098816968</v>
      </c>
      <c r="AG131" s="59">
        <f t="shared" si="55"/>
        <v>0.12302304904269579</v>
      </c>
      <c r="AH131" s="59">
        <f t="shared" si="55"/>
        <v>0.18901361573543829</v>
      </c>
      <c r="AI131" s="59">
        <f t="shared" si="55"/>
        <v>0.18843751489776306</v>
      </c>
      <c r="AJ131" s="59">
        <f t="shared" si="55"/>
        <v>1.132155831981918E-2</v>
      </c>
      <c r="AK131" s="59">
        <f t="shared" si="54"/>
        <v>0.54082776606988925</v>
      </c>
      <c r="AL131" s="60">
        <f t="shared" si="54"/>
        <v>-0.30335334962950866</v>
      </c>
      <c r="AM131" s="65">
        <f t="shared" si="42"/>
        <v>0.17608958986130763</v>
      </c>
      <c r="AO131" s="68"/>
      <c r="AP131" s="59">
        <f t="shared" si="43"/>
        <v>0.11828201945696604</v>
      </c>
      <c r="AQ131" s="59">
        <f t="shared" si="44"/>
        <v>0.15255778988724988</v>
      </c>
      <c r="AR131" s="59">
        <f t="shared" si="45"/>
        <v>0.19478561194105515</v>
      </c>
      <c r="AS131" s="59">
        <f t="shared" si="46"/>
        <v>0.19867073057392215</v>
      </c>
      <c r="AT131" s="59">
        <f t="shared" si="47"/>
        <v>6.4501820343235927E-2</v>
      </c>
      <c r="AU131" s="59">
        <f t="shared" si="48"/>
        <v>0.13398605674578756</v>
      </c>
      <c r="AV131" s="59">
        <f t="shared" si="49"/>
        <v>0.13747847903690946</v>
      </c>
      <c r="AW131" s="59">
        <f t="shared" si="50"/>
        <v>-4.3124649143893246E-2</v>
      </c>
      <c r="AX131" s="59">
        <f t="shared" si="51"/>
        <v>0.43106507483039769</v>
      </c>
      <c r="AY131" s="59">
        <f t="shared" si="52"/>
        <v>-0.31701308787206728</v>
      </c>
      <c r="AZ131" s="65">
        <f t="shared" si="53"/>
        <v>0.10711898457995632</v>
      </c>
    </row>
    <row r="132" spans="1:52" ht="25.5">
      <c r="A132" s="515" t="s">
        <v>39</v>
      </c>
      <c r="B132" s="495">
        <v>30779744</v>
      </c>
      <c r="C132" s="496">
        <v>31503977</v>
      </c>
      <c r="D132" s="496">
        <v>80521739</v>
      </c>
      <c r="E132" s="496">
        <v>121239697</v>
      </c>
      <c r="F132" s="496">
        <v>139971917</v>
      </c>
      <c r="G132" s="496">
        <v>124734772</v>
      </c>
      <c r="H132" s="496">
        <v>95100398</v>
      </c>
      <c r="I132" s="496">
        <v>116964864</v>
      </c>
      <c r="J132" s="496">
        <v>159956329</v>
      </c>
      <c r="K132" s="496">
        <v>200474685.41999999</v>
      </c>
      <c r="L132" s="497">
        <v>156182549.94999999</v>
      </c>
      <c r="M132" s="463"/>
      <c r="O132" s="58">
        <f t="shared" si="29"/>
        <v>8.0382467431972665E-3</v>
      </c>
      <c r="P132" s="59">
        <f t="shared" si="30"/>
        <v>5.2588132892506913E-3</v>
      </c>
      <c r="Q132" s="59">
        <f t="shared" si="31"/>
        <v>7.4682251036086054E-3</v>
      </c>
      <c r="R132" s="59">
        <f t="shared" si="32"/>
        <v>1.287115835531725E-2</v>
      </c>
      <c r="S132" s="59">
        <f t="shared" si="33"/>
        <v>1.1825780938032713E-2</v>
      </c>
      <c r="T132" s="59">
        <f t="shared" si="34"/>
        <v>8.8914102286721027E-3</v>
      </c>
      <c r="U132" s="59">
        <f t="shared" si="35"/>
        <v>6.3763016355537746E-3</v>
      </c>
      <c r="V132" s="59">
        <f t="shared" si="36"/>
        <v>5.8238975639254712E-3</v>
      </c>
      <c r="W132" s="59">
        <f t="shared" si="37"/>
        <v>7.0122465871379934E-3</v>
      </c>
      <c r="X132" s="59">
        <f t="shared" si="38"/>
        <v>7.254751709600704E-3</v>
      </c>
      <c r="Y132" s="60">
        <f t="shared" si="39"/>
        <v>5.7189386339530825E-3</v>
      </c>
      <c r="Z132" s="60">
        <f t="shared" si="40"/>
        <v>7.8672518898408768E-3</v>
      </c>
      <c r="AB132" s="68"/>
      <c r="AC132" s="59">
        <f t="shared" si="41"/>
        <v>2.352953292918869E-2</v>
      </c>
      <c r="AD132" s="59">
        <f t="shared" si="41"/>
        <v>1.5559229871200073</v>
      </c>
      <c r="AE132" s="59">
        <f t="shared" si="41"/>
        <v>0.50567658505239188</v>
      </c>
      <c r="AF132" s="59">
        <f t="shared" ref="AF132:AI195" si="56">+IF(E132=0,"",F132/E132-1)</f>
        <v>0.15450566492260376</v>
      </c>
      <c r="AG132" s="59">
        <f t="shared" si="55"/>
        <v>-0.10885858625484135</v>
      </c>
      <c r="AH132" s="59">
        <f t="shared" si="55"/>
        <v>-0.23757909302147118</v>
      </c>
      <c r="AI132" s="59">
        <f t="shared" si="55"/>
        <v>0.22990930069504012</v>
      </c>
      <c r="AJ132" s="59">
        <f t="shared" si="55"/>
        <v>0.36755879953829562</v>
      </c>
      <c r="AK132" s="59">
        <f t="shared" si="54"/>
        <v>0.25330886669698449</v>
      </c>
      <c r="AL132" s="60">
        <f t="shared" si="54"/>
        <v>-0.22093630114548757</v>
      </c>
      <c r="AM132" s="65">
        <f t="shared" si="42"/>
        <v>0.25230377565327117</v>
      </c>
      <c r="AO132" s="68"/>
      <c r="AP132" s="59">
        <f t="shared" si="43"/>
        <v>-5.8823417996148208E-2</v>
      </c>
      <c r="AQ132" s="59">
        <f t="shared" si="44"/>
        <v>1.3742898161820785</v>
      </c>
      <c r="AR132" s="59">
        <f t="shared" si="45"/>
        <v>0.40730590246975584</v>
      </c>
      <c r="AS132" s="59">
        <f t="shared" si="46"/>
        <v>8.4144675483710962E-2</v>
      </c>
      <c r="AT132" s="59">
        <f t="shared" si="47"/>
        <v>-0.15529636019171233</v>
      </c>
      <c r="AU132" s="59">
        <f t="shared" si="48"/>
        <v>-0.27286393827343591</v>
      </c>
      <c r="AV132" s="59">
        <f t="shared" si="49"/>
        <v>0.1771719953053601</v>
      </c>
      <c r="AW132" s="59">
        <f t="shared" si="50"/>
        <v>0.29393395736426875</v>
      </c>
      <c r="AX132" s="59">
        <f t="shared" si="51"/>
        <v>0.16402792486020656</v>
      </c>
      <c r="AY132" s="59">
        <f t="shared" si="52"/>
        <v>-0.23621205994655647</v>
      </c>
      <c r="AZ132" s="65">
        <f t="shared" si="53"/>
        <v>0.17776784952575281</v>
      </c>
    </row>
    <row r="133" spans="1:52" ht="38.25">
      <c r="A133" s="515" t="s">
        <v>40</v>
      </c>
      <c r="B133" s="495">
        <v>6471168</v>
      </c>
      <c r="C133" s="496">
        <v>4810287</v>
      </c>
      <c r="D133" s="496">
        <v>13373499</v>
      </c>
      <c r="E133" s="496">
        <v>4833146</v>
      </c>
      <c r="F133" s="496">
        <v>3820325</v>
      </c>
      <c r="G133" s="496">
        <v>5899171</v>
      </c>
      <c r="H133" s="496">
        <v>15727347</v>
      </c>
      <c r="I133" s="496">
        <v>25260674</v>
      </c>
      <c r="J133" s="496">
        <v>21794845</v>
      </c>
      <c r="K133" s="496">
        <v>20488416.800000001</v>
      </c>
      <c r="L133" s="497">
        <v>24529049</v>
      </c>
      <c r="M133" s="463"/>
      <c r="O133" s="58">
        <f t="shared" ref="O133:O196" si="57">B133/$B$104</f>
        <v>1.68997003681E-3</v>
      </c>
      <c r="P133" s="59">
        <f t="shared" ref="P133:P196" si="58">C133/$C$104</f>
        <v>8.0295897882066882E-4</v>
      </c>
      <c r="Q133" s="59">
        <f t="shared" ref="Q133:Q196" si="59">D133/$D$104</f>
        <v>1.2403644307145997E-3</v>
      </c>
      <c r="R133" s="59">
        <f t="shared" ref="R133:R196" si="60">E133/$E$104</f>
        <v>5.1310081647901304E-4</v>
      </c>
      <c r="S133" s="59">
        <f t="shared" ref="S133:S196" si="61">F133/$F$104</f>
        <v>3.227670773565945E-4</v>
      </c>
      <c r="T133" s="59">
        <f t="shared" ref="T133:T196" si="62">G133/$G$104</f>
        <v>4.2050783858478406E-4</v>
      </c>
      <c r="U133" s="59">
        <f t="shared" ref="U133:U196" si="63">H133/$H$104</f>
        <v>1.0544888402992988E-3</v>
      </c>
      <c r="V133" s="59">
        <f t="shared" ref="V133:V196" si="64">I133/$I$104</f>
        <v>1.2577758203670077E-3</v>
      </c>
      <c r="W133" s="59">
        <f t="shared" ref="W133:W196" si="65">J133/$J$104</f>
        <v>9.5545345672725182E-4</v>
      </c>
      <c r="X133" s="59">
        <f t="shared" ref="X133:X196" si="66">K133/$K$104</f>
        <v>7.4143214887909816E-4</v>
      </c>
      <c r="Y133" s="60">
        <f t="shared" ref="Y133:Y196" si="67">L133/$L$104</f>
        <v>8.9818053313342147E-4</v>
      </c>
      <c r="Z133" s="60">
        <f t="shared" ref="Z133:Z196" si="68">AVERAGE(O133:Y133)</f>
        <v>8.9972727074288526E-4</v>
      </c>
      <c r="AB133" s="68"/>
      <c r="AC133" s="59">
        <f t="shared" ref="AC133:AI196" si="69">+IF(B133=0,"",C133/B133-1)</f>
        <v>-0.25665861247923094</v>
      </c>
      <c r="AD133" s="59">
        <f t="shared" si="69"/>
        <v>1.7801873360155018</v>
      </c>
      <c r="AE133" s="59">
        <f t="shared" si="69"/>
        <v>-0.63860273216455909</v>
      </c>
      <c r="AF133" s="59">
        <f t="shared" si="56"/>
        <v>-0.20955729456548589</v>
      </c>
      <c r="AG133" s="59">
        <f t="shared" si="55"/>
        <v>0.54415422771622834</v>
      </c>
      <c r="AH133" s="59">
        <f t="shared" si="55"/>
        <v>1.6660266332337206</v>
      </c>
      <c r="AI133" s="59">
        <f t="shared" si="55"/>
        <v>0.60616243794964264</v>
      </c>
      <c r="AJ133" s="59">
        <f t="shared" si="55"/>
        <v>-0.13720255445282259</v>
      </c>
      <c r="AK133" s="59">
        <f t="shared" si="54"/>
        <v>-5.9942073458196132E-2</v>
      </c>
      <c r="AL133" s="60">
        <f t="shared" si="54"/>
        <v>0.19721544321570028</v>
      </c>
      <c r="AM133" s="65">
        <f t="shared" ref="AM133:AM196" si="70">AVERAGE(AB133:AL133)</f>
        <v>0.34917828110104993</v>
      </c>
      <c r="AO133" s="68"/>
      <c r="AP133" s="59">
        <f t="shared" ref="AP133:AP196" si="71">IF(AC133="",,(((AC133+1)/($C$273+1))-1))</f>
        <v>-0.31646768963607441</v>
      </c>
      <c r="AQ133" s="59">
        <f t="shared" ref="AQ133:AQ196" si="72">IF(AD133="",,(((AD133+1)/($D$273+1))-1))</f>
        <v>1.5826171258852781</v>
      </c>
      <c r="AR133" s="59">
        <f t="shared" ref="AR133:AR196" si="73">IF(AE133="",,(((AE133+1)/($E$273+1))-1))</f>
        <v>-0.66221397529167136</v>
      </c>
      <c r="AS133" s="59">
        <f t="shared" ref="AS133:AS196" si="74">IF(AF133="",,(((AF133+1)/($F$273+1))-1))</f>
        <v>-0.25773057992814896</v>
      </c>
      <c r="AT133" s="59">
        <f t="shared" ref="AT133:AT196" si="75">IF(AG133="",,(((AG133+1)/($G$273+1))-1))</f>
        <v>0.46368766669199113</v>
      </c>
      <c r="AU133" s="59">
        <f t="shared" ref="AU133:AU196" si="76">IF(AH133="",,(((AH133+1)/($H$273+1))-1))</f>
        <v>1.5426429007963862</v>
      </c>
      <c r="AV133" s="59">
        <f t="shared" ref="AV133:AV196" si="77">IF(AI133="",,(((AI133+1)/($I$273+1))-1))</f>
        <v>0.53729176679713131</v>
      </c>
      <c r="AW133" s="59">
        <f t="shared" ref="AW133:AW196" si="78">IF(AJ133="",,(((AJ133+1)/($J$273+1))-1))</f>
        <v>-0.18365271497097413</v>
      </c>
      <c r="AX133" s="59">
        <f t="shared" ref="AX133:AX196" si="79">IF(AK133="",,(((AK133+1)/($K$273+1))-1))</f>
        <v>-0.12690821348397519</v>
      </c>
      <c r="AY133" s="59">
        <f t="shared" ref="AY133:AY196" si="80">IF(AL133="",,(((AL133+1)/($L$273+1))-1))</f>
        <v>0.17374063060362777</v>
      </c>
      <c r="AZ133" s="65">
        <f t="shared" ref="AZ133:AZ196" si="81">AVERAGE(AO133:AY133)</f>
        <v>0.27530069174635707</v>
      </c>
    </row>
    <row r="134" spans="1:52" ht="38.25">
      <c r="A134" s="515" t="s">
        <v>173</v>
      </c>
      <c r="B134" s="495">
        <v>6098559</v>
      </c>
      <c r="C134" s="496">
        <v>7476659</v>
      </c>
      <c r="D134" s="496">
        <v>9540324</v>
      </c>
      <c r="E134" s="496">
        <v>13208726</v>
      </c>
      <c r="F134" s="496">
        <v>110099873</v>
      </c>
      <c r="G134" s="496">
        <v>31047305</v>
      </c>
      <c r="H134" s="496">
        <v>27949817</v>
      </c>
      <c r="I134" s="496">
        <v>50188774</v>
      </c>
      <c r="J134" s="496">
        <v>50663679</v>
      </c>
      <c r="K134" s="496">
        <v>62145996</v>
      </c>
      <c r="L134" s="497">
        <v>71756810</v>
      </c>
      <c r="M134" s="463"/>
      <c r="O134" s="58">
        <f t="shared" si="57"/>
        <v>1.5926617849695689E-3</v>
      </c>
      <c r="P134" s="59">
        <f t="shared" si="58"/>
        <v>1.2480441345039004E-3</v>
      </c>
      <c r="Q134" s="59">
        <f t="shared" si="59"/>
        <v>8.8484536074611689E-4</v>
      </c>
      <c r="R134" s="59">
        <f t="shared" si="60"/>
        <v>1.402276714845272E-3</v>
      </c>
      <c r="S134" s="59">
        <f t="shared" si="61"/>
        <v>9.3019871936398692E-3</v>
      </c>
      <c r="T134" s="59">
        <f t="shared" si="62"/>
        <v>2.2131304753553608E-3</v>
      </c>
      <c r="U134" s="59">
        <f t="shared" si="63"/>
        <v>1.8739823134129123E-3</v>
      </c>
      <c r="V134" s="59">
        <f t="shared" si="64"/>
        <v>2.4989921643050516E-3</v>
      </c>
      <c r="W134" s="59">
        <f t="shared" si="65"/>
        <v>2.2210200270325335E-3</v>
      </c>
      <c r="X134" s="59">
        <f t="shared" si="66"/>
        <v>2.2489311794219179E-3</v>
      </c>
      <c r="Y134" s="60">
        <f t="shared" si="67"/>
        <v>2.6275201236604659E-3</v>
      </c>
      <c r="Z134" s="60">
        <f t="shared" si="68"/>
        <v>2.5557628610811786E-3</v>
      </c>
      <c r="AB134" s="68"/>
      <c r="AC134" s="59">
        <f t="shared" si="69"/>
        <v>0.22597141390285813</v>
      </c>
      <c r="AD134" s="59">
        <f t="shared" si="69"/>
        <v>0.27601432671999615</v>
      </c>
      <c r="AE134" s="59">
        <f t="shared" si="69"/>
        <v>0.38451545251502983</v>
      </c>
      <c r="AF134" s="59">
        <f t="shared" si="56"/>
        <v>7.3353892722129288</v>
      </c>
      <c r="AG134" s="59">
        <f t="shared" si="55"/>
        <v>-0.71800780369655826</v>
      </c>
      <c r="AH134" s="59">
        <f t="shared" si="55"/>
        <v>-9.9766726934914285E-2</v>
      </c>
      <c r="AI134" s="59">
        <f t="shared" si="55"/>
        <v>0.79567451192972038</v>
      </c>
      <c r="AJ134" s="59">
        <f t="shared" si="55"/>
        <v>9.4623749924633849E-3</v>
      </c>
      <c r="AK134" s="59">
        <f t="shared" si="54"/>
        <v>0.22663804182084757</v>
      </c>
      <c r="AL134" s="60">
        <f t="shared" si="54"/>
        <v>0.15464896563891251</v>
      </c>
      <c r="AM134" s="65">
        <f t="shared" si="70"/>
        <v>0.85905398291012813</v>
      </c>
      <c r="AO134" s="68"/>
      <c r="AP134" s="59">
        <f t="shared" si="71"/>
        <v>0.12733003577274316</v>
      </c>
      <c r="AQ134" s="59">
        <f t="shared" si="72"/>
        <v>0.18533611399906746</v>
      </c>
      <c r="AR134" s="59">
        <f t="shared" si="73"/>
        <v>0.29406061549212992</v>
      </c>
      <c r="AS134" s="59">
        <f t="shared" si="74"/>
        <v>6.827391559970823</v>
      </c>
      <c r="AT134" s="59">
        <f t="shared" si="75"/>
        <v>-0.73270254199725837</v>
      </c>
      <c r="AU134" s="59">
        <f t="shared" si="76"/>
        <v>-0.14142952951551802</v>
      </c>
      <c r="AV134" s="59">
        <f t="shared" si="77"/>
        <v>0.71867774878418889</v>
      </c>
      <c r="AW134" s="59">
        <f t="shared" si="78"/>
        <v>-4.4883740190686527E-2</v>
      </c>
      <c r="AX134" s="59">
        <f t="shared" si="79"/>
        <v>0.13925702778940052</v>
      </c>
      <c r="AY134" s="59">
        <f t="shared" si="80"/>
        <v>0.13200878984207098</v>
      </c>
      <c r="AZ134" s="65">
        <f t="shared" si="81"/>
        <v>0.75050460799469609</v>
      </c>
    </row>
    <row r="135" spans="1:52" ht="38.25">
      <c r="A135" s="515" t="s">
        <v>174</v>
      </c>
      <c r="B135" s="495">
        <v>1076643</v>
      </c>
      <c r="C135" s="496">
        <v>15092790</v>
      </c>
      <c r="D135" s="496">
        <v>3554076</v>
      </c>
      <c r="E135" s="496">
        <v>5176108</v>
      </c>
      <c r="F135" s="496">
        <v>8400551</v>
      </c>
      <c r="G135" s="496">
        <v>6585590</v>
      </c>
      <c r="H135" s="496">
        <v>8760544</v>
      </c>
      <c r="I135" s="496">
        <v>7909299</v>
      </c>
      <c r="J135" s="496">
        <v>5310031</v>
      </c>
      <c r="K135" s="496">
        <v>4574712</v>
      </c>
      <c r="L135" s="497">
        <v>3415972</v>
      </c>
      <c r="M135" s="463"/>
      <c r="O135" s="58">
        <f t="shared" si="57"/>
        <v>2.8116939791104613E-4</v>
      </c>
      <c r="P135" s="59">
        <f t="shared" si="58"/>
        <v>2.5193696854168583E-3</v>
      </c>
      <c r="Q135" s="59">
        <f t="shared" si="59"/>
        <v>3.2963321375029987E-4</v>
      </c>
      <c r="R135" s="59">
        <f t="shared" si="60"/>
        <v>5.4951065847867026E-4</v>
      </c>
      <c r="S135" s="59">
        <f t="shared" si="61"/>
        <v>7.0973576710227988E-4</v>
      </c>
      <c r="T135" s="59">
        <f t="shared" si="62"/>
        <v>4.6943752210362575E-4</v>
      </c>
      <c r="U135" s="59">
        <f t="shared" si="63"/>
        <v>5.8737788916026206E-4</v>
      </c>
      <c r="V135" s="59">
        <f t="shared" si="64"/>
        <v>3.9381867001066375E-4</v>
      </c>
      <c r="W135" s="59">
        <f t="shared" si="65"/>
        <v>2.3278382912467904E-4</v>
      </c>
      <c r="X135" s="59">
        <f t="shared" si="66"/>
        <v>1.6554907984217681E-4</v>
      </c>
      <c r="Y135" s="60">
        <f t="shared" si="67"/>
        <v>1.2508269489489135E-4</v>
      </c>
      <c r="Z135" s="60">
        <f t="shared" si="68"/>
        <v>5.7849712798140474E-4</v>
      </c>
      <c r="AB135" s="68"/>
      <c r="AC135" s="59">
        <f t="shared" si="69"/>
        <v>13.018379351372738</v>
      </c>
      <c r="AD135" s="59">
        <f t="shared" si="69"/>
        <v>-0.76451828985893266</v>
      </c>
      <c r="AE135" s="59">
        <f t="shared" si="69"/>
        <v>0.45638641379644107</v>
      </c>
      <c r="AF135" s="59">
        <f t="shared" si="56"/>
        <v>0.62294739599714699</v>
      </c>
      <c r="AG135" s="59">
        <f t="shared" si="55"/>
        <v>-0.21605261369164952</v>
      </c>
      <c r="AH135" s="59">
        <f t="shared" si="55"/>
        <v>0.33025955153600517</v>
      </c>
      <c r="AI135" s="59">
        <f t="shared" si="55"/>
        <v>-9.7168052577556785E-2</v>
      </c>
      <c r="AJ135" s="59">
        <f t="shared" si="55"/>
        <v>-0.32863443397448999</v>
      </c>
      <c r="AK135" s="59">
        <f t="shared" si="54"/>
        <v>-0.13847734598912886</v>
      </c>
      <c r="AL135" s="60">
        <f t="shared" si="54"/>
        <v>-0.25329244769943993</v>
      </c>
      <c r="AM135" s="65">
        <f t="shared" si="70"/>
        <v>1.2629829528911134</v>
      </c>
      <c r="AO135" s="68"/>
      <c r="AP135" s="59">
        <f t="shared" si="71"/>
        <v>11.890463771377231</v>
      </c>
      <c r="AQ135" s="59">
        <f t="shared" si="72"/>
        <v>-0.78125247548437771</v>
      </c>
      <c r="AR135" s="59">
        <f t="shared" si="73"/>
        <v>0.36123601625987556</v>
      </c>
      <c r="AS135" s="59">
        <f t="shared" si="74"/>
        <v>0.52403737064245193</v>
      </c>
      <c r="AT135" s="59">
        <f t="shared" si="75"/>
        <v>-0.25690445936089235</v>
      </c>
      <c r="AU135" s="59">
        <f t="shared" si="76"/>
        <v>0.26869512958578468</v>
      </c>
      <c r="AV135" s="59">
        <f t="shared" si="77"/>
        <v>-0.13588060162476723</v>
      </c>
      <c r="AW135" s="59">
        <f t="shared" si="78"/>
        <v>-0.36477853531506288</v>
      </c>
      <c r="AX135" s="59">
        <f t="shared" si="79"/>
        <v>-0.19984893284027938</v>
      </c>
      <c r="AY135" s="59">
        <f t="shared" si="80"/>
        <v>-0.26793377225435289</v>
      </c>
      <c r="AZ135" s="65">
        <f t="shared" si="81"/>
        <v>1.1037833510985611</v>
      </c>
    </row>
    <row r="136" spans="1:52" ht="38.25">
      <c r="A136" s="515" t="s">
        <v>175</v>
      </c>
      <c r="B136" s="495"/>
      <c r="C136" s="496"/>
      <c r="D136" s="496"/>
      <c r="E136" s="496"/>
      <c r="F136" s="496"/>
      <c r="G136" s="496"/>
      <c r="H136" s="496"/>
      <c r="I136" s="496"/>
      <c r="J136" s="496">
        <v>45531</v>
      </c>
      <c r="K136" s="496"/>
      <c r="L136" s="497">
        <v>6986</v>
      </c>
      <c r="M136" s="463"/>
      <c r="O136" s="58">
        <f t="shared" si="57"/>
        <v>0</v>
      </c>
      <c r="P136" s="59">
        <f t="shared" si="58"/>
        <v>0</v>
      </c>
      <c r="Q136" s="59">
        <f t="shared" si="59"/>
        <v>0</v>
      </c>
      <c r="R136" s="59">
        <f t="shared" si="60"/>
        <v>0</v>
      </c>
      <c r="S136" s="59">
        <f t="shared" si="61"/>
        <v>0</v>
      </c>
      <c r="T136" s="59">
        <f t="shared" si="62"/>
        <v>0</v>
      </c>
      <c r="U136" s="59">
        <f t="shared" si="63"/>
        <v>0</v>
      </c>
      <c r="V136" s="59">
        <f t="shared" si="64"/>
        <v>0</v>
      </c>
      <c r="W136" s="59">
        <f t="shared" si="65"/>
        <v>1.9960110447332157E-6</v>
      </c>
      <c r="X136" s="59">
        <f t="shared" si="66"/>
        <v>0</v>
      </c>
      <c r="Y136" s="60">
        <f t="shared" si="67"/>
        <v>2.5580646051422876E-7</v>
      </c>
      <c r="Z136" s="60">
        <f t="shared" si="68"/>
        <v>2.0471068229522224E-7</v>
      </c>
      <c r="AB136" s="68"/>
      <c r="AC136" s="59" t="str">
        <f t="shared" si="69"/>
        <v/>
      </c>
      <c r="AD136" s="59" t="str">
        <f t="shared" si="69"/>
        <v/>
      </c>
      <c r="AE136" s="59" t="str">
        <f t="shared" si="69"/>
        <v/>
      </c>
      <c r="AF136" s="59" t="str">
        <f t="shared" si="56"/>
        <v/>
      </c>
      <c r="AG136" s="59" t="str">
        <f t="shared" si="55"/>
        <v/>
      </c>
      <c r="AH136" s="59" t="str">
        <f t="shared" si="55"/>
        <v/>
      </c>
      <c r="AI136" s="59" t="str">
        <f t="shared" si="55"/>
        <v/>
      </c>
      <c r="AJ136" s="59" t="str">
        <f t="shared" si="55"/>
        <v/>
      </c>
      <c r="AK136" s="59">
        <f t="shared" si="54"/>
        <v>-1</v>
      </c>
      <c r="AL136" s="60" t="str">
        <f t="shared" si="54"/>
        <v/>
      </c>
      <c r="AM136" s="65">
        <f t="shared" si="70"/>
        <v>-1</v>
      </c>
      <c r="AO136" s="68"/>
      <c r="AP136" s="59">
        <f t="shared" si="71"/>
        <v>0</v>
      </c>
      <c r="AQ136" s="59">
        <f t="shared" si="72"/>
        <v>0</v>
      </c>
      <c r="AR136" s="59">
        <f t="shared" si="73"/>
        <v>0</v>
      </c>
      <c r="AS136" s="59">
        <f t="shared" si="74"/>
        <v>0</v>
      </c>
      <c r="AT136" s="59">
        <f t="shared" si="75"/>
        <v>0</v>
      </c>
      <c r="AU136" s="59">
        <f t="shared" si="76"/>
        <v>0</v>
      </c>
      <c r="AV136" s="59">
        <f t="shared" si="77"/>
        <v>0</v>
      </c>
      <c r="AW136" s="59">
        <f t="shared" si="78"/>
        <v>0</v>
      </c>
      <c r="AX136" s="59">
        <f t="shared" si="79"/>
        <v>-1</v>
      </c>
      <c r="AY136" s="59">
        <f t="shared" si="80"/>
        <v>0</v>
      </c>
      <c r="AZ136" s="65">
        <f t="shared" si="81"/>
        <v>-0.1</v>
      </c>
    </row>
    <row r="137" spans="1:52" ht="51">
      <c r="A137" s="515" t="s">
        <v>176</v>
      </c>
      <c r="B137" s="495">
        <v>439919</v>
      </c>
      <c r="C137" s="496"/>
      <c r="D137" s="496">
        <v>5881</v>
      </c>
      <c r="E137" s="496">
        <v>327134</v>
      </c>
      <c r="F137" s="496">
        <v>90545</v>
      </c>
      <c r="G137" s="496">
        <v>6189</v>
      </c>
      <c r="H137" s="496">
        <v>95008</v>
      </c>
      <c r="I137" s="496">
        <v>275473</v>
      </c>
      <c r="J137" s="496">
        <v>396104</v>
      </c>
      <c r="K137" s="496">
        <v>583710</v>
      </c>
      <c r="L137" s="497">
        <v>1072004</v>
      </c>
      <c r="M137" s="463"/>
      <c r="O137" s="58">
        <f t="shared" si="57"/>
        <v>1.1488651331929851E-4</v>
      </c>
      <c r="P137" s="59">
        <f t="shared" si="58"/>
        <v>0</v>
      </c>
      <c r="Q137" s="59">
        <f t="shared" si="59"/>
        <v>5.4545061221693446E-7</v>
      </c>
      <c r="R137" s="59">
        <f t="shared" si="60"/>
        <v>3.4729495549698985E-5</v>
      </c>
      <c r="S137" s="59">
        <f t="shared" si="61"/>
        <v>7.6498583286115322E-6</v>
      </c>
      <c r="T137" s="59">
        <f t="shared" si="62"/>
        <v>4.4116758320808608E-7</v>
      </c>
      <c r="U137" s="59">
        <f t="shared" si="63"/>
        <v>6.3701065245877627E-6</v>
      </c>
      <c r="V137" s="59">
        <f t="shared" si="64"/>
        <v>1.3716311709020936E-5</v>
      </c>
      <c r="W137" s="59">
        <f t="shared" si="65"/>
        <v>1.7364607824625106E-5</v>
      </c>
      <c r="X137" s="59">
        <f t="shared" si="66"/>
        <v>2.1123221176475597E-5</v>
      </c>
      <c r="Y137" s="60">
        <f t="shared" si="67"/>
        <v>3.9253585585040837E-5</v>
      </c>
      <c r="Z137" s="60">
        <f t="shared" si="68"/>
        <v>2.3280028928434935E-5</v>
      </c>
      <c r="AB137" s="68"/>
      <c r="AC137" s="59">
        <f t="shared" si="69"/>
        <v>-1</v>
      </c>
      <c r="AD137" s="59" t="str">
        <f t="shared" si="69"/>
        <v/>
      </c>
      <c r="AE137" s="59">
        <f t="shared" si="69"/>
        <v>54.625573881992857</v>
      </c>
      <c r="AF137" s="59">
        <f t="shared" si="56"/>
        <v>-0.72321739715223732</v>
      </c>
      <c r="AG137" s="59">
        <f t="shared" si="55"/>
        <v>-0.9316472472251367</v>
      </c>
      <c r="AH137" s="59">
        <f t="shared" si="55"/>
        <v>14.351106802391339</v>
      </c>
      <c r="AI137" s="59">
        <f t="shared" si="55"/>
        <v>1.8994716234422366</v>
      </c>
      <c r="AJ137" s="59">
        <f t="shared" si="55"/>
        <v>0.43790498524356281</v>
      </c>
      <c r="AK137" s="59">
        <f t="shared" si="54"/>
        <v>0.47362813806475068</v>
      </c>
      <c r="AL137" s="60">
        <f t="shared" si="54"/>
        <v>0.83653526579979776</v>
      </c>
      <c r="AM137" s="65">
        <f t="shared" si="70"/>
        <v>7.7743728947285753</v>
      </c>
      <c r="AO137" s="68"/>
      <c r="AP137" s="59">
        <f t="shared" si="71"/>
        <v>-1</v>
      </c>
      <c r="AQ137" s="59">
        <f t="shared" si="72"/>
        <v>0</v>
      </c>
      <c r="AR137" s="59">
        <f t="shared" si="73"/>
        <v>50.991376653886206</v>
      </c>
      <c r="AS137" s="59">
        <f t="shared" si="74"/>
        <v>-0.7400858269811601</v>
      </c>
      <c r="AT137" s="59">
        <f t="shared" si="75"/>
        <v>-0.93520913945948148</v>
      </c>
      <c r="AU137" s="59">
        <f t="shared" si="76"/>
        <v>13.640657465272078</v>
      </c>
      <c r="AV137" s="59">
        <f t="shared" si="77"/>
        <v>1.7751451219776384</v>
      </c>
      <c r="AW137" s="59">
        <f t="shared" si="78"/>
        <v>0.36049293712135766</v>
      </c>
      <c r="AX137" s="59">
        <f t="shared" si="79"/>
        <v>0.36865249193345462</v>
      </c>
      <c r="AY137" s="59">
        <f t="shared" si="80"/>
        <v>0.80052477039195846</v>
      </c>
      <c r="AZ137" s="65">
        <f t="shared" si="81"/>
        <v>6.5261554474142063</v>
      </c>
    </row>
    <row r="138" spans="1:52" ht="25.5">
      <c r="A138" s="515" t="s">
        <v>177</v>
      </c>
      <c r="B138" s="495">
        <v>2167903</v>
      </c>
      <c r="C138" s="496">
        <v>6798768</v>
      </c>
      <c r="D138" s="496">
        <v>3697653</v>
      </c>
      <c r="E138" s="496">
        <v>5262833</v>
      </c>
      <c r="F138" s="496">
        <v>4856369</v>
      </c>
      <c r="G138" s="496">
        <v>7679851</v>
      </c>
      <c r="H138" s="496">
        <v>8564080</v>
      </c>
      <c r="I138" s="496">
        <v>10933966</v>
      </c>
      <c r="J138" s="496">
        <v>11116283</v>
      </c>
      <c r="K138" s="496">
        <v>13749583.800000001</v>
      </c>
      <c r="L138" s="497">
        <v>11503782.300000001</v>
      </c>
      <c r="M138" s="463"/>
      <c r="O138" s="58">
        <f t="shared" si="57"/>
        <v>5.6615608074315322E-4</v>
      </c>
      <c r="P138" s="59">
        <f t="shared" si="58"/>
        <v>1.134886922655268E-3</v>
      </c>
      <c r="Q138" s="59">
        <f t="shared" si="59"/>
        <v>3.4294968417204291E-4</v>
      </c>
      <c r="R138" s="59">
        <f t="shared" si="60"/>
        <v>5.5871763635791127E-4</v>
      </c>
      <c r="S138" s="59">
        <f t="shared" si="61"/>
        <v>4.1029913127683314E-4</v>
      </c>
      <c r="T138" s="59">
        <f t="shared" si="62"/>
        <v>5.4743921555472667E-4</v>
      </c>
      <c r="U138" s="59">
        <f t="shared" si="63"/>
        <v>5.7420534991886542E-4</v>
      </c>
      <c r="V138" s="59">
        <f t="shared" si="64"/>
        <v>5.444224510998784E-4</v>
      </c>
      <c r="W138" s="59">
        <f t="shared" si="65"/>
        <v>4.8732124584085752E-4</v>
      </c>
      <c r="X138" s="59">
        <f t="shared" si="66"/>
        <v>4.9756814118635242E-4</v>
      </c>
      <c r="Y138" s="60">
        <f t="shared" si="67"/>
        <v>4.2123415870157942E-4</v>
      </c>
      <c r="Z138" s="60">
        <f t="shared" si="68"/>
        <v>5.5320000159158808E-4</v>
      </c>
      <c r="AB138" s="68"/>
      <c r="AC138" s="59">
        <f t="shared" si="69"/>
        <v>2.1361034142210236</v>
      </c>
      <c r="AD138" s="59">
        <f t="shared" si="69"/>
        <v>-0.45612896336512732</v>
      </c>
      <c r="AE138" s="59">
        <f t="shared" si="69"/>
        <v>0.42329012484405659</v>
      </c>
      <c r="AF138" s="59">
        <f t="shared" si="56"/>
        <v>-7.7232927588619993E-2</v>
      </c>
      <c r="AG138" s="59">
        <f t="shared" si="55"/>
        <v>0.58139774798826038</v>
      </c>
      <c r="AH138" s="59">
        <f t="shared" si="55"/>
        <v>0.11513621813756547</v>
      </c>
      <c r="AI138" s="59">
        <f t="shared" si="55"/>
        <v>0.2767239446618901</v>
      </c>
      <c r="AJ138" s="59">
        <f t="shared" si="55"/>
        <v>1.6674370489170975E-2</v>
      </c>
      <c r="AK138" s="59">
        <f t="shared" si="54"/>
        <v>0.23688680829734188</v>
      </c>
      <c r="AL138" s="60">
        <f t="shared" si="54"/>
        <v>-0.16333596221290714</v>
      </c>
      <c r="AM138" s="65">
        <f t="shared" si="70"/>
        <v>0.30895147754726537</v>
      </c>
      <c r="AO138" s="68"/>
      <c r="AP138" s="59">
        <f t="shared" si="71"/>
        <v>1.8837732544561137</v>
      </c>
      <c r="AQ138" s="59">
        <f t="shared" si="72"/>
        <v>-0.4947784146448001</v>
      </c>
      <c r="AR138" s="59">
        <f t="shared" si="73"/>
        <v>0.33030201406118009</v>
      </c>
      <c r="AS138" s="59">
        <f t="shared" si="74"/>
        <v>-0.1334706804287914</v>
      </c>
      <c r="AT138" s="59">
        <f t="shared" si="75"/>
        <v>0.4989904106199663</v>
      </c>
      <c r="AU138" s="59">
        <f t="shared" si="76"/>
        <v>6.3527705658836586E-2</v>
      </c>
      <c r="AV138" s="59">
        <f t="shared" si="77"/>
        <v>0.22197927322156419</v>
      </c>
      <c r="AW138" s="59">
        <f t="shared" si="78"/>
        <v>-3.8060014675777243E-2</v>
      </c>
      <c r="AX138" s="59">
        <f t="shared" si="79"/>
        <v>0.14877571124486111</v>
      </c>
      <c r="AY138" s="59">
        <f t="shared" si="80"/>
        <v>-0.17974113942441883</v>
      </c>
      <c r="AZ138" s="65">
        <f t="shared" si="81"/>
        <v>0.23012981200887345</v>
      </c>
    </row>
    <row r="139" spans="1:52" ht="38.25">
      <c r="A139" s="515" t="s">
        <v>178</v>
      </c>
      <c r="B139" s="495"/>
      <c r="C139" s="496">
        <v>65</v>
      </c>
      <c r="D139" s="496">
        <v>846332</v>
      </c>
      <c r="E139" s="496">
        <v>404000</v>
      </c>
      <c r="F139" s="496"/>
      <c r="G139" s="496"/>
      <c r="H139" s="496"/>
      <c r="I139" s="496">
        <v>379885</v>
      </c>
      <c r="J139" s="496">
        <v>44386</v>
      </c>
      <c r="K139" s="496">
        <v>574879</v>
      </c>
      <c r="L139" s="497">
        <v>889207</v>
      </c>
      <c r="M139" s="463"/>
      <c r="O139" s="58">
        <f t="shared" si="57"/>
        <v>0</v>
      </c>
      <c r="P139" s="59">
        <f t="shared" si="58"/>
        <v>1.0850149611310817E-8</v>
      </c>
      <c r="Q139" s="59">
        <f t="shared" si="59"/>
        <v>7.849554625723221E-5</v>
      </c>
      <c r="R139" s="59">
        <f t="shared" si="60"/>
        <v>4.2889813355011674E-5</v>
      </c>
      <c r="S139" s="59">
        <f t="shared" si="61"/>
        <v>0</v>
      </c>
      <c r="T139" s="59">
        <f t="shared" si="62"/>
        <v>0</v>
      </c>
      <c r="U139" s="59">
        <f t="shared" si="63"/>
        <v>0</v>
      </c>
      <c r="V139" s="59">
        <f t="shared" si="64"/>
        <v>1.8915178887155612E-5</v>
      </c>
      <c r="W139" s="59">
        <f t="shared" si="65"/>
        <v>1.9458159546578927E-6</v>
      </c>
      <c r="X139" s="59">
        <f t="shared" si="66"/>
        <v>2.0803646102878336E-5</v>
      </c>
      <c r="Y139" s="60">
        <f t="shared" si="67"/>
        <v>3.2560105258298856E-5</v>
      </c>
      <c r="Z139" s="60">
        <f t="shared" si="68"/>
        <v>1.7783723269531447E-5</v>
      </c>
      <c r="AB139" s="68"/>
      <c r="AC139" s="59" t="str">
        <f t="shared" si="69"/>
        <v/>
      </c>
      <c r="AD139" s="59">
        <f>+IF(C139=0,"",D139/C139-1)</f>
        <v>13019.492307692308</v>
      </c>
      <c r="AE139" s="59">
        <f t="shared" si="69"/>
        <v>-0.52264595926893942</v>
      </c>
      <c r="AF139" s="59">
        <f t="shared" si="56"/>
        <v>-1</v>
      </c>
      <c r="AG139" s="59" t="str">
        <f t="shared" si="55"/>
        <v/>
      </c>
      <c r="AH139" s="59" t="str">
        <f t="shared" si="55"/>
        <v/>
      </c>
      <c r="AI139" s="59" t="str">
        <f t="shared" si="55"/>
        <v/>
      </c>
      <c r="AJ139" s="59">
        <f t="shared" si="55"/>
        <v>-0.88315937717993598</v>
      </c>
      <c r="AK139" s="59">
        <f t="shared" si="54"/>
        <v>11.951809129004641</v>
      </c>
      <c r="AL139" s="60">
        <f t="shared" si="54"/>
        <v>0.54677245124626217</v>
      </c>
      <c r="AM139" s="65">
        <f t="shared" si="70"/>
        <v>2171.5975139893517</v>
      </c>
      <c r="AO139" s="68"/>
      <c r="AP139" s="59">
        <f t="shared" si="71"/>
        <v>0</v>
      </c>
      <c r="AQ139" s="59">
        <f t="shared" si="72"/>
        <v>12094.208832041159</v>
      </c>
      <c r="AR139" s="59">
        <f t="shared" si="73"/>
        <v>-0.5538330304411061</v>
      </c>
      <c r="AS139" s="59">
        <f t="shared" si="74"/>
        <v>-1</v>
      </c>
      <c r="AT139" s="59">
        <f t="shared" si="75"/>
        <v>0</v>
      </c>
      <c r="AU139" s="59">
        <f t="shared" si="76"/>
        <v>0</v>
      </c>
      <c r="AV139" s="59">
        <f t="shared" si="77"/>
        <v>0</v>
      </c>
      <c r="AW139" s="59">
        <f t="shared" si="78"/>
        <v>-0.88944968982868389</v>
      </c>
      <c r="AX139" s="59">
        <f t="shared" si="79"/>
        <v>11.029171662491539</v>
      </c>
      <c r="AY139" s="59">
        <f t="shared" si="80"/>
        <v>0.51644357965319809</v>
      </c>
      <c r="AZ139" s="65">
        <f t="shared" si="81"/>
        <v>1210.3311164563033</v>
      </c>
    </row>
    <row r="140" spans="1:52" ht="38.25">
      <c r="A140" s="515" t="s">
        <v>179</v>
      </c>
      <c r="B140" s="495">
        <v>8215592</v>
      </c>
      <c r="C140" s="496">
        <v>4145516</v>
      </c>
      <c r="D140" s="496">
        <v>564430</v>
      </c>
      <c r="E140" s="496">
        <v>3137098</v>
      </c>
      <c r="F140" s="496">
        <v>4319173</v>
      </c>
      <c r="G140" s="496">
        <v>4239436</v>
      </c>
      <c r="H140" s="496">
        <v>2964855</v>
      </c>
      <c r="I140" s="496">
        <v>9825993</v>
      </c>
      <c r="J140" s="496">
        <v>6076877</v>
      </c>
      <c r="K140" s="496">
        <v>4626143</v>
      </c>
      <c r="L140" s="497">
        <v>10387828</v>
      </c>
      <c r="M140" s="463"/>
      <c r="O140" s="58">
        <f t="shared" si="57"/>
        <v>2.1455329725106722E-3</v>
      </c>
      <c r="P140" s="59">
        <f t="shared" si="58"/>
        <v>6.9199182793973498E-4</v>
      </c>
      <c r="Q140" s="59">
        <f t="shared" si="59"/>
        <v>5.2349717574154796E-5</v>
      </c>
      <c r="R140" s="59">
        <f t="shared" si="60"/>
        <v>3.3304343489203074E-4</v>
      </c>
      <c r="S140" s="59">
        <f t="shared" si="61"/>
        <v>3.6491315419696343E-4</v>
      </c>
      <c r="T140" s="59">
        <f t="shared" si="62"/>
        <v>3.0219772730414538E-4</v>
      </c>
      <c r="U140" s="59">
        <f t="shared" si="63"/>
        <v>1.9878791449095499E-4</v>
      </c>
      <c r="V140" s="59">
        <f t="shared" si="64"/>
        <v>4.8925441999273162E-4</v>
      </c>
      <c r="W140" s="59">
        <f t="shared" si="65"/>
        <v>2.6640121256913421E-4</v>
      </c>
      <c r="X140" s="59">
        <f t="shared" si="66"/>
        <v>1.674102581470325E-4</v>
      </c>
      <c r="Y140" s="60">
        <f t="shared" si="67"/>
        <v>3.8037124436166616E-4</v>
      </c>
      <c r="Z140" s="60">
        <f t="shared" si="68"/>
        <v>4.9020489854356556E-4</v>
      </c>
      <c r="AB140" s="68"/>
      <c r="AC140" s="59">
        <f t="shared" si="69"/>
        <v>-0.4954087301316813</v>
      </c>
      <c r="AD140" s="59">
        <f t="shared" si="69"/>
        <v>-0.863845658779269</v>
      </c>
      <c r="AE140" s="59">
        <f t="shared" si="69"/>
        <v>4.5579930195064051</v>
      </c>
      <c r="AF140" s="59">
        <f t="shared" si="56"/>
        <v>0.37680525122262676</v>
      </c>
      <c r="AG140" s="59">
        <f t="shared" si="55"/>
        <v>-1.8461173006962261E-2</v>
      </c>
      <c r="AH140" s="59">
        <f t="shared" si="55"/>
        <v>-0.30064871836725449</v>
      </c>
      <c r="AI140" s="59">
        <f t="shared" si="55"/>
        <v>2.3141563415411546</v>
      </c>
      <c r="AJ140" s="59">
        <f t="shared" si="55"/>
        <v>-0.38155085190880966</v>
      </c>
      <c r="AK140" s="59">
        <f t="shared" si="54"/>
        <v>-0.23873018986561678</v>
      </c>
      <c r="AL140" s="60">
        <f t="shared" si="54"/>
        <v>1.2454619323267786</v>
      </c>
      <c r="AM140" s="65">
        <f t="shared" si="70"/>
        <v>0.61957712225373707</v>
      </c>
      <c r="AO140" s="68"/>
      <c r="AP140" s="59">
        <f t="shared" si="71"/>
        <v>-0.53600802770729317</v>
      </c>
      <c r="AQ140" s="59">
        <f t="shared" si="72"/>
        <v>-0.87352128079820623</v>
      </c>
      <c r="AR140" s="59">
        <f t="shared" si="73"/>
        <v>4.1948715015481861</v>
      </c>
      <c r="AS140" s="59">
        <f t="shared" si="74"/>
        <v>0.29289628248908528</v>
      </c>
      <c r="AT140" s="59">
        <f t="shared" si="75"/>
        <v>-6.9609596203461743E-2</v>
      </c>
      <c r="AU140" s="59">
        <f t="shared" si="76"/>
        <v>-0.33301470088859897</v>
      </c>
      <c r="AV140" s="59">
        <f t="shared" si="77"/>
        <v>2.1720485657936015</v>
      </c>
      <c r="AW140" s="59">
        <f t="shared" si="78"/>
        <v>-0.41484610834403413</v>
      </c>
      <c r="AX140" s="59">
        <f t="shared" si="79"/>
        <v>-0.29296014661987257</v>
      </c>
      <c r="AY140" s="59">
        <f t="shared" si="80"/>
        <v>1.201433266987038</v>
      </c>
      <c r="AZ140" s="65">
        <f t="shared" si="81"/>
        <v>0.53412897562564443</v>
      </c>
    </row>
    <row r="141" spans="1:52" ht="51">
      <c r="A141" s="515" t="s">
        <v>41</v>
      </c>
      <c r="B141" s="495">
        <v>55249528</v>
      </c>
      <c r="C141" s="496">
        <v>69828062</v>
      </c>
      <c r="D141" s="496">
        <v>112103934</v>
      </c>
      <c r="E141" s="496">
        <v>153588743</v>
      </c>
      <c r="F141" s="496">
        <v>271558753</v>
      </c>
      <c r="G141" s="496">
        <v>180192314</v>
      </c>
      <c r="H141" s="496">
        <v>159162049</v>
      </c>
      <c r="I141" s="496">
        <v>221738928</v>
      </c>
      <c r="J141" s="496">
        <v>255481530</v>
      </c>
      <c r="K141" s="496">
        <v>307218126.01999998</v>
      </c>
      <c r="L141" s="497">
        <v>279811105.25</v>
      </c>
      <c r="M141" s="463"/>
      <c r="O141" s="58">
        <f t="shared" si="57"/>
        <v>1.4428623529461006E-2</v>
      </c>
      <c r="P141" s="59">
        <f t="shared" si="58"/>
        <v>1.1656075688736733E-2</v>
      </c>
      <c r="Q141" s="59">
        <f t="shared" si="59"/>
        <v>1.0397408507435269E-2</v>
      </c>
      <c r="R141" s="59">
        <f t="shared" si="60"/>
        <v>1.6305427031437763E-2</v>
      </c>
      <c r="S141" s="59">
        <f t="shared" si="61"/>
        <v>2.2943133119933866E-2</v>
      </c>
      <c r="T141" s="59">
        <f t="shared" si="62"/>
        <v>1.2844564175157953E-2</v>
      </c>
      <c r="U141" s="59">
        <f t="shared" si="63"/>
        <v>1.0671514049360656E-2</v>
      </c>
      <c r="V141" s="59">
        <f t="shared" si="64"/>
        <v>1.1040792580296981E-2</v>
      </c>
      <c r="W141" s="59">
        <f t="shared" si="65"/>
        <v>1.1199928743171474E-2</v>
      </c>
      <c r="X141" s="59">
        <f t="shared" si="66"/>
        <v>1.1117569384356636E-2</v>
      </c>
      <c r="Y141" s="60">
        <f t="shared" si="67"/>
        <v>1.0245847186741602E-2</v>
      </c>
      <c r="Z141" s="60">
        <f t="shared" si="68"/>
        <v>1.2986443999644538E-2</v>
      </c>
      <c r="AB141" s="68"/>
      <c r="AC141" s="59">
        <f t="shared" si="69"/>
        <v>0.26386712299153037</v>
      </c>
      <c r="AD141" s="59">
        <f t="shared" si="69"/>
        <v>0.60542811570511579</v>
      </c>
      <c r="AE141" s="59">
        <f t="shared" si="69"/>
        <v>0.37005667437148104</v>
      </c>
      <c r="AF141" s="59">
        <f t="shared" si="56"/>
        <v>0.76809021088218676</v>
      </c>
      <c r="AG141" s="59">
        <f t="shared" si="55"/>
        <v>-0.33645182852934963</v>
      </c>
      <c r="AH141" s="59">
        <f t="shared" si="55"/>
        <v>-0.11671011117599606</v>
      </c>
      <c r="AI141" s="59">
        <f t="shared" si="55"/>
        <v>0.39316457279335482</v>
      </c>
      <c r="AJ141" s="59">
        <f t="shared" si="55"/>
        <v>0.15217265774821453</v>
      </c>
      <c r="AK141" s="59">
        <f t="shared" si="54"/>
        <v>0.2025062086484295</v>
      </c>
      <c r="AL141" s="60">
        <f t="shared" si="54"/>
        <v>-8.9210298640438168E-2</v>
      </c>
      <c r="AM141" s="65">
        <f t="shared" si="70"/>
        <v>0.22129133247945293</v>
      </c>
      <c r="AO141" s="68"/>
      <c r="AP141" s="59">
        <f t="shared" si="71"/>
        <v>0.1621766648197982</v>
      </c>
      <c r="AQ141" s="59">
        <f t="shared" si="72"/>
        <v>0.49134056266151016</v>
      </c>
      <c r="AR141" s="59">
        <f t="shared" si="73"/>
        <v>0.28054647571874103</v>
      </c>
      <c r="AS141" s="59">
        <f t="shared" si="74"/>
        <v>0.66033450172052488</v>
      </c>
      <c r="AT141" s="59">
        <f t="shared" si="75"/>
        <v>-0.3710296177642578</v>
      </c>
      <c r="AU141" s="59">
        <f t="shared" si="76"/>
        <v>-0.15758877380776182</v>
      </c>
      <c r="AV141" s="59">
        <f t="shared" si="77"/>
        <v>0.33342704134126611</v>
      </c>
      <c r="AW141" s="59">
        <f t="shared" si="78"/>
        <v>9.0143492996702212E-2</v>
      </c>
      <c r="AX141" s="59">
        <f t="shared" si="79"/>
        <v>0.11684425434051215</v>
      </c>
      <c r="AY141" s="59">
        <f t="shared" si="80"/>
        <v>-0.10706892023572367</v>
      </c>
      <c r="AZ141" s="65">
        <f t="shared" si="81"/>
        <v>0.14991256817913118</v>
      </c>
    </row>
    <row r="142" spans="1:52" ht="25.5">
      <c r="A142" s="515" t="s">
        <v>42</v>
      </c>
      <c r="B142" s="495">
        <v>14909560</v>
      </c>
      <c r="C142" s="496">
        <v>17653165</v>
      </c>
      <c r="D142" s="496">
        <v>8211158</v>
      </c>
      <c r="E142" s="496">
        <v>133736197</v>
      </c>
      <c r="F142" s="496">
        <v>93676761</v>
      </c>
      <c r="G142" s="496">
        <v>23578416</v>
      </c>
      <c r="H142" s="496">
        <v>31727413</v>
      </c>
      <c r="I142" s="496">
        <v>48047290</v>
      </c>
      <c r="J142" s="496">
        <v>71470130</v>
      </c>
      <c r="K142" s="496">
        <v>65297749</v>
      </c>
      <c r="L142" s="497">
        <v>69805310</v>
      </c>
      <c r="M142" s="463"/>
      <c r="O142" s="58">
        <f t="shared" si="57"/>
        <v>3.8936880733154975E-3</v>
      </c>
      <c r="P142" s="59">
        <f t="shared" si="58"/>
        <v>2.9467612517408573E-3</v>
      </c>
      <c r="Q142" s="59">
        <f t="shared" si="59"/>
        <v>7.615679575089236E-4</v>
      </c>
      <c r="R142" s="59">
        <f t="shared" si="60"/>
        <v>1.4197823089453148E-2</v>
      </c>
      <c r="S142" s="59">
        <f t="shared" si="61"/>
        <v>7.9144508292363133E-3</v>
      </c>
      <c r="T142" s="59">
        <f t="shared" si="62"/>
        <v>1.6807291650662254E-3</v>
      </c>
      <c r="U142" s="59">
        <f t="shared" si="63"/>
        <v>2.1272629732189984E-3</v>
      </c>
      <c r="V142" s="59">
        <f t="shared" si="64"/>
        <v>2.3923637032076629E-3</v>
      </c>
      <c r="W142" s="59">
        <f t="shared" si="65"/>
        <v>3.133143766851568E-3</v>
      </c>
      <c r="X142" s="59">
        <f t="shared" si="66"/>
        <v>2.3629864049836188E-3</v>
      </c>
      <c r="Y142" s="60">
        <f t="shared" si="67"/>
        <v>2.5560620206410674E-3</v>
      </c>
      <c r="Z142" s="60">
        <f t="shared" si="68"/>
        <v>3.9969853850203522E-3</v>
      </c>
      <c r="AB142" s="68"/>
      <c r="AC142" s="59">
        <f t="shared" si="69"/>
        <v>0.18401649679802756</v>
      </c>
      <c r="AD142" s="59">
        <f t="shared" si="69"/>
        <v>-0.53486199216967611</v>
      </c>
      <c r="AE142" s="59">
        <f t="shared" si="69"/>
        <v>15.287129902992977</v>
      </c>
      <c r="AF142" s="59">
        <f t="shared" si="56"/>
        <v>-0.29954071447089226</v>
      </c>
      <c r="AG142" s="59">
        <f t="shared" si="55"/>
        <v>-0.74830026413914974</v>
      </c>
      <c r="AH142" s="59">
        <f t="shared" si="55"/>
        <v>0.34561257210832141</v>
      </c>
      <c r="AI142" s="59">
        <f t="shared" si="55"/>
        <v>0.51437780319498483</v>
      </c>
      <c r="AJ142" s="59">
        <f t="shared" si="55"/>
        <v>0.48749554865633415</v>
      </c>
      <c r="AK142" s="59">
        <f t="shared" si="54"/>
        <v>-8.6363086229170105E-2</v>
      </c>
      <c r="AL142" s="60">
        <f t="shared" si="54"/>
        <v>6.903087884392467E-2</v>
      </c>
      <c r="AM142" s="65">
        <f t="shared" si="70"/>
        <v>1.5218597145585679</v>
      </c>
      <c r="AO142" s="68"/>
      <c r="AP142" s="59">
        <f t="shared" si="71"/>
        <v>8.8750801653358691E-2</v>
      </c>
      <c r="AQ142" s="59">
        <f t="shared" si="72"/>
        <v>-0.56791638845302006</v>
      </c>
      <c r="AR142" s="59">
        <f t="shared" si="73"/>
        <v>14.223039445736028</v>
      </c>
      <c r="AS142" s="59">
        <f t="shared" si="74"/>
        <v>-0.34222998823447481</v>
      </c>
      <c r="AT142" s="59">
        <f t="shared" si="75"/>
        <v>-0.76141644890353422</v>
      </c>
      <c r="AU142" s="59">
        <f t="shared" si="76"/>
        <v>0.28333761225169529</v>
      </c>
      <c r="AV142" s="59">
        <f t="shared" si="77"/>
        <v>0.44944276722337761</v>
      </c>
      <c r="AW142" s="59">
        <f t="shared" si="78"/>
        <v>0.40741370863500248</v>
      </c>
      <c r="AX142" s="59">
        <f t="shared" si="79"/>
        <v>-0.15144709411086665</v>
      </c>
      <c r="AY142" s="59">
        <f t="shared" si="80"/>
        <v>4.8069489062671167E-2</v>
      </c>
      <c r="AZ142" s="65">
        <f t="shared" si="81"/>
        <v>1.367704390486024</v>
      </c>
    </row>
    <row r="143" spans="1:52" ht="38.25">
      <c r="A143" s="515" t="s">
        <v>43</v>
      </c>
      <c r="B143" s="495">
        <v>33130760</v>
      </c>
      <c r="C143" s="496">
        <v>27083332</v>
      </c>
      <c r="D143" s="496">
        <v>45812768</v>
      </c>
      <c r="E143" s="496">
        <v>77275152</v>
      </c>
      <c r="F143" s="496">
        <v>155755466</v>
      </c>
      <c r="G143" s="496">
        <v>418328421</v>
      </c>
      <c r="H143" s="496">
        <v>119021856</v>
      </c>
      <c r="I143" s="496">
        <v>171161433</v>
      </c>
      <c r="J143" s="496">
        <v>245262211</v>
      </c>
      <c r="K143" s="496">
        <v>175358030.28999999</v>
      </c>
      <c r="L143" s="497">
        <v>236650231.47</v>
      </c>
      <c r="M143" s="463"/>
      <c r="O143" s="58">
        <f t="shared" si="57"/>
        <v>8.6522234775458264E-3</v>
      </c>
      <c r="P143" s="59">
        <f t="shared" si="58"/>
        <v>4.5208954488123359E-3</v>
      </c>
      <c r="Q143" s="59">
        <f t="shared" si="59"/>
        <v>4.2490396791281049E-3</v>
      </c>
      <c r="R143" s="59">
        <f t="shared" si="60"/>
        <v>8.203754569950884E-3</v>
      </c>
      <c r="S143" s="59">
        <f t="shared" si="61"/>
        <v>1.3159282663944671E-2</v>
      </c>
      <c r="T143" s="59">
        <f t="shared" si="62"/>
        <v>2.9819508560320694E-2</v>
      </c>
      <c r="U143" s="59">
        <f t="shared" si="63"/>
        <v>7.980190104771653E-3</v>
      </c>
      <c r="V143" s="59">
        <f t="shared" si="64"/>
        <v>8.5224452762728189E-3</v>
      </c>
      <c r="W143" s="59">
        <f t="shared" si="65"/>
        <v>1.0751929059578932E-2</v>
      </c>
      <c r="X143" s="59">
        <f t="shared" si="66"/>
        <v>6.3458334770464383E-3</v>
      </c>
      <c r="Y143" s="60">
        <f t="shared" si="67"/>
        <v>8.6654248628991772E-3</v>
      </c>
      <c r="Z143" s="60">
        <f t="shared" si="68"/>
        <v>1.0079138834570138E-2</v>
      </c>
      <c r="AB143" s="68"/>
      <c r="AC143" s="59">
        <f t="shared" si="69"/>
        <v>-0.18253212422534226</v>
      </c>
      <c r="AD143" s="59">
        <f t="shared" si="69"/>
        <v>0.69154844019930772</v>
      </c>
      <c r="AE143" s="59">
        <f t="shared" si="69"/>
        <v>0.6867601625817501</v>
      </c>
      <c r="AF143" s="59">
        <f t="shared" si="56"/>
        <v>1.0155957247421528</v>
      </c>
      <c r="AG143" s="59">
        <f t="shared" si="55"/>
        <v>1.6858025066035243</v>
      </c>
      <c r="AH143" s="59">
        <f t="shared" si="55"/>
        <v>-0.71548226220087496</v>
      </c>
      <c r="AI143" s="59">
        <f t="shared" si="55"/>
        <v>0.43806724875807679</v>
      </c>
      <c r="AJ143" s="59">
        <f t="shared" si="55"/>
        <v>0.43292917511388218</v>
      </c>
      <c r="AK143" s="59">
        <f t="shared" si="54"/>
        <v>-0.28501814619130217</v>
      </c>
      <c r="AL143" s="60">
        <f t="shared" si="54"/>
        <v>0.34952605865062147</v>
      </c>
      <c r="AM143" s="65">
        <f t="shared" si="70"/>
        <v>0.41171967840317958</v>
      </c>
      <c r="AO143" s="68"/>
      <c r="AP143" s="59">
        <f t="shared" si="71"/>
        <v>-0.24830540158652159</v>
      </c>
      <c r="AQ143" s="59">
        <f t="shared" si="72"/>
        <v>0.57134086409596629</v>
      </c>
      <c r="AR143" s="59">
        <f t="shared" si="73"/>
        <v>0.57655870883423677</v>
      </c>
      <c r="AS143" s="59">
        <f t="shared" si="74"/>
        <v>0.89275586885355707</v>
      </c>
      <c r="AT143" s="59">
        <f t="shared" si="75"/>
        <v>1.5458441478997469</v>
      </c>
      <c r="AU143" s="59">
        <f t="shared" si="76"/>
        <v>-0.72864974522474224</v>
      </c>
      <c r="AV143" s="59">
        <f t="shared" si="77"/>
        <v>0.37640433456936906</v>
      </c>
      <c r="AW143" s="59">
        <f t="shared" si="78"/>
        <v>0.35578500815013925</v>
      </c>
      <c r="AX143" s="59">
        <f t="shared" si="79"/>
        <v>-0.33595072554221428</v>
      </c>
      <c r="AY143" s="59">
        <f t="shared" si="80"/>
        <v>0.32306476338296219</v>
      </c>
      <c r="AZ143" s="65">
        <f t="shared" si="81"/>
        <v>0.33288478234324997</v>
      </c>
    </row>
    <row r="144" spans="1:52" ht="38.25">
      <c r="A144" s="515" t="s">
        <v>180</v>
      </c>
      <c r="B144" s="495">
        <v>6651748</v>
      </c>
      <c r="C144" s="496">
        <v>4323974</v>
      </c>
      <c r="D144" s="496">
        <v>3076006</v>
      </c>
      <c r="E144" s="496">
        <v>5615189</v>
      </c>
      <c r="F144" s="496">
        <v>9379558</v>
      </c>
      <c r="G144" s="496">
        <v>10361997</v>
      </c>
      <c r="H144" s="496">
        <v>10044626</v>
      </c>
      <c r="I144" s="496">
        <v>20346025</v>
      </c>
      <c r="J144" s="496">
        <v>30591431</v>
      </c>
      <c r="K144" s="496">
        <v>45268742</v>
      </c>
      <c r="L144" s="497">
        <v>31053536</v>
      </c>
      <c r="M144" s="463"/>
      <c r="O144" s="58">
        <f t="shared" si="57"/>
        <v>1.7371291878700789E-3</v>
      </c>
      <c r="P144" s="59">
        <f t="shared" si="58"/>
        <v>7.2178099716027817E-4</v>
      </c>
      <c r="Q144" s="59">
        <f t="shared" si="59"/>
        <v>2.8529320793792956E-4</v>
      </c>
      <c r="R144" s="59">
        <f t="shared" si="60"/>
        <v>5.9612477268097689E-4</v>
      </c>
      <c r="S144" s="59">
        <f t="shared" si="61"/>
        <v>7.9244894676674493E-4</v>
      </c>
      <c r="T144" s="59">
        <f t="shared" si="62"/>
        <v>7.3862937044747758E-4</v>
      </c>
      <c r="U144" s="59">
        <f t="shared" si="63"/>
        <v>6.7347315615152287E-4</v>
      </c>
      <c r="V144" s="59">
        <f t="shared" si="64"/>
        <v>1.0130663293300348E-3</v>
      </c>
      <c r="W144" s="59">
        <f t="shared" si="65"/>
        <v>1.3410826502864878E-3</v>
      </c>
      <c r="X144" s="59">
        <f t="shared" si="66"/>
        <v>1.6381793178921213E-3</v>
      </c>
      <c r="Y144" s="60">
        <f t="shared" si="67"/>
        <v>1.1370877656185488E-3</v>
      </c>
      <c r="Z144" s="60">
        <f t="shared" si="68"/>
        <v>9.703905183765638E-4</v>
      </c>
      <c r="AB144" s="68"/>
      <c r="AC144" s="59">
        <f t="shared" si="69"/>
        <v>-0.34994921635636222</v>
      </c>
      <c r="AD144" s="59">
        <f t="shared" si="69"/>
        <v>-0.28861598150220147</v>
      </c>
      <c r="AE144" s="59">
        <f t="shared" si="69"/>
        <v>0.82548050946584639</v>
      </c>
      <c r="AF144" s="59">
        <f t="shared" si="56"/>
        <v>0.67039043565586121</v>
      </c>
      <c r="AG144" s="59">
        <f t="shared" si="55"/>
        <v>0.10474256889290512</v>
      </c>
      <c r="AH144" s="59">
        <f t="shared" si="55"/>
        <v>-3.0628362467196246E-2</v>
      </c>
      <c r="AI144" s="59">
        <f t="shared" si="55"/>
        <v>1.0255632215674333</v>
      </c>
      <c r="AJ144" s="59">
        <f t="shared" si="55"/>
        <v>0.50355811516008653</v>
      </c>
      <c r="AK144" s="59">
        <f t="shared" si="54"/>
        <v>0.47978504176545389</v>
      </c>
      <c r="AL144" s="60">
        <f t="shared" si="54"/>
        <v>-0.31401813639972587</v>
      </c>
      <c r="AM144" s="65">
        <f t="shared" si="70"/>
        <v>0.26263081957821005</v>
      </c>
      <c r="AO144" s="68"/>
      <c r="AP144" s="59">
        <f t="shared" si="71"/>
        <v>-0.40225215297136752</v>
      </c>
      <c r="AQ144" s="59">
        <f t="shared" si="72"/>
        <v>-0.33916951370385651</v>
      </c>
      <c r="AR144" s="59">
        <f t="shared" si="73"/>
        <v>0.70621601034287895</v>
      </c>
      <c r="AS144" s="59">
        <f t="shared" si="74"/>
        <v>0.56858900897348219</v>
      </c>
      <c r="AT144" s="59">
        <f t="shared" si="75"/>
        <v>4.7173944114169641E-2</v>
      </c>
      <c r="AU144" s="59">
        <f t="shared" si="76"/>
        <v>-7.5490889070171319E-2</v>
      </c>
      <c r="AV144" s="59">
        <f t="shared" si="77"/>
        <v>0.93870905586469511</v>
      </c>
      <c r="AW144" s="59">
        <f t="shared" si="78"/>
        <v>0.42261151968974042</v>
      </c>
      <c r="AX144" s="59">
        <f t="shared" si="79"/>
        <v>0.37437080130533462</v>
      </c>
      <c r="AY144" s="59">
        <f t="shared" si="80"/>
        <v>-0.32746876117620183</v>
      </c>
      <c r="AZ144" s="65">
        <f t="shared" si="81"/>
        <v>0.19132890233687042</v>
      </c>
    </row>
    <row r="145" spans="1:52" ht="38.25">
      <c r="A145" s="515" t="s">
        <v>181</v>
      </c>
      <c r="B145" s="495">
        <v>22568496</v>
      </c>
      <c r="C145" s="496">
        <v>18657420</v>
      </c>
      <c r="D145" s="496">
        <v>29035226</v>
      </c>
      <c r="E145" s="496">
        <v>44605554</v>
      </c>
      <c r="F145" s="496">
        <v>54990484</v>
      </c>
      <c r="G145" s="496">
        <v>35662194</v>
      </c>
      <c r="H145" s="496">
        <v>44650353</v>
      </c>
      <c r="I145" s="496">
        <v>63932113</v>
      </c>
      <c r="J145" s="496">
        <v>66977487</v>
      </c>
      <c r="K145" s="496">
        <v>56818684.68</v>
      </c>
      <c r="L145" s="497">
        <v>66010412.490000002</v>
      </c>
      <c r="M145" s="463"/>
      <c r="O145" s="58">
        <f t="shared" si="57"/>
        <v>5.8938482227422215E-3</v>
      </c>
      <c r="P145" s="59">
        <f t="shared" si="58"/>
        <v>3.1143968978625024E-3</v>
      </c>
      <c r="Q145" s="59">
        <f t="shared" si="59"/>
        <v>2.6929572857604242E-3</v>
      </c>
      <c r="R145" s="59">
        <f t="shared" si="60"/>
        <v>4.7354551625170653E-3</v>
      </c>
      <c r="S145" s="59">
        <f t="shared" si="61"/>
        <v>4.6459706446714804E-3</v>
      </c>
      <c r="T145" s="59">
        <f t="shared" si="62"/>
        <v>2.5420914427012296E-3</v>
      </c>
      <c r="U145" s="59">
        <f t="shared" si="63"/>
        <v>2.9937216336566055E-3</v>
      </c>
      <c r="V145" s="59">
        <f t="shared" si="64"/>
        <v>3.1832985088351656E-3</v>
      </c>
      <c r="W145" s="59">
        <f t="shared" si="65"/>
        <v>2.9361930069727298E-3</v>
      </c>
      <c r="X145" s="59">
        <f t="shared" si="66"/>
        <v>2.0561471337685929E-3</v>
      </c>
      <c r="Y145" s="60">
        <f t="shared" si="67"/>
        <v>2.4171042050030256E-3</v>
      </c>
      <c r="Z145" s="60">
        <f t="shared" si="68"/>
        <v>3.3828349222264588E-3</v>
      </c>
      <c r="AB145" s="68"/>
      <c r="AC145" s="59">
        <f t="shared" si="69"/>
        <v>-0.17329803456995985</v>
      </c>
      <c r="AD145" s="59">
        <f t="shared" si="69"/>
        <v>0.55622942507592144</v>
      </c>
      <c r="AE145" s="59">
        <f t="shared" si="69"/>
        <v>0.53625647687398748</v>
      </c>
      <c r="AF145" s="59">
        <f t="shared" si="56"/>
        <v>0.2328169716264481</v>
      </c>
      <c r="AG145" s="59">
        <f t="shared" si="55"/>
        <v>-0.35148426771439223</v>
      </c>
      <c r="AH145" s="59">
        <f t="shared" si="55"/>
        <v>0.25203606373741327</v>
      </c>
      <c r="AI145" s="59">
        <f t="shared" si="55"/>
        <v>0.43183891513690842</v>
      </c>
      <c r="AJ145" s="59">
        <f t="shared" si="55"/>
        <v>4.7634496297658702E-2</v>
      </c>
      <c r="AK145" s="59">
        <f t="shared" si="54"/>
        <v>-0.15167488024744791</v>
      </c>
      <c r="AL145" s="60">
        <f t="shared" si="54"/>
        <v>0.16177297770561494</v>
      </c>
      <c r="AM145" s="65">
        <f t="shared" si="70"/>
        <v>0.15421281439221521</v>
      </c>
      <c r="AO145" s="68"/>
      <c r="AP145" s="59">
        <f t="shared" si="71"/>
        <v>-0.23981428466203203</v>
      </c>
      <c r="AQ145" s="59">
        <f t="shared" si="72"/>
        <v>0.44563810968501749</v>
      </c>
      <c r="AR145" s="59">
        <f t="shared" si="73"/>
        <v>0.43588791183660835</v>
      </c>
      <c r="AS145" s="59">
        <f t="shared" si="74"/>
        <v>0.15768332390501283</v>
      </c>
      <c r="AT145" s="59">
        <f t="shared" si="75"/>
        <v>-0.38527870988246282</v>
      </c>
      <c r="AU145" s="59">
        <f t="shared" si="76"/>
        <v>0.19409182538496483</v>
      </c>
      <c r="AV145" s="59">
        <f t="shared" si="77"/>
        <v>0.37044306578953723</v>
      </c>
      <c r="AW145" s="59">
        <f t="shared" si="78"/>
        <v>-8.7666796313191631E-3</v>
      </c>
      <c r="AX145" s="59">
        <f t="shared" si="79"/>
        <v>-0.21210632511140326</v>
      </c>
      <c r="AY145" s="59">
        <f t="shared" si="80"/>
        <v>0.13899311539766179</v>
      </c>
      <c r="AZ145" s="65">
        <f t="shared" si="81"/>
        <v>8.9677135271158531E-2</v>
      </c>
    </row>
    <row r="146" spans="1:52" ht="38.25">
      <c r="A146" s="515" t="s">
        <v>182</v>
      </c>
      <c r="B146" s="495"/>
      <c r="C146" s="496"/>
      <c r="D146" s="496"/>
      <c r="E146" s="496"/>
      <c r="F146" s="496"/>
      <c r="G146" s="496"/>
      <c r="H146" s="496">
        <v>2605810</v>
      </c>
      <c r="I146" s="496">
        <v>2547665</v>
      </c>
      <c r="J146" s="496">
        <v>2547666</v>
      </c>
      <c r="K146" s="496">
        <v>2547665</v>
      </c>
      <c r="L146" s="497">
        <v>4360624</v>
      </c>
      <c r="M146" s="463"/>
      <c r="O146" s="58">
        <f t="shared" si="57"/>
        <v>0</v>
      </c>
      <c r="P146" s="59">
        <f t="shared" si="58"/>
        <v>0</v>
      </c>
      <c r="Q146" s="59">
        <f t="shared" si="59"/>
        <v>0</v>
      </c>
      <c r="R146" s="59">
        <f t="shared" si="60"/>
        <v>0</v>
      </c>
      <c r="S146" s="59">
        <f t="shared" si="61"/>
        <v>0</v>
      </c>
      <c r="T146" s="59">
        <f t="shared" si="62"/>
        <v>0</v>
      </c>
      <c r="U146" s="59">
        <f t="shared" si="63"/>
        <v>1.7471462700863126E-4</v>
      </c>
      <c r="V146" s="59">
        <f t="shared" si="64"/>
        <v>1.2685296660711875E-4</v>
      </c>
      <c r="W146" s="59">
        <f t="shared" si="65"/>
        <v>1.1168587279636495E-4</v>
      </c>
      <c r="X146" s="59">
        <f t="shared" si="66"/>
        <v>9.2194567985070833E-5</v>
      </c>
      <c r="Y146" s="60">
        <f t="shared" si="67"/>
        <v>1.59673030500057E-4</v>
      </c>
      <c r="Z146" s="60">
        <f t="shared" si="68"/>
        <v>6.0465551354294798E-5</v>
      </c>
      <c r="AB146" s="68"/>
      <c r="AC146" s="59" t="str">
        <f t="shared" si="69"/>
        <v/>
      </c>
      <c r="AD146" s="59" t="str">
        <f t="shared" si="69"/>
        <v/>
      </c>
      <c r="AE146" s="59" t="str">
        <f t="shared" si="69"/>
        <v/>
      </c>
      <c r="AF146" s="59" t="str">
        <f t="shared" si="56"/>
        <v/>
      </c>
      <c r="AG146" s="59" t="str">
        <f t="shared" si="55"/>
        <v/>
      </c>
      <c r="AH146" s="59" t="str">
        <f t="shared" si="55"/>
        <v/>
      </c>
      <c r="AI146" s="59">
        <f t="shared" si="55"/>
        <v>-2.2313599226344238E-2</v>
      </c>
      <c r="AJ146" s="59">
        <f t="shared" si="55"/>
        <v>3.9251628458636389E-7</v>
      </c>
      <c r="AK146" s="59">
        <f t="shared" si="54"/>
        <v>-3.9251613048740808E-7</v>
      </c>
      <c r="AL146" s="60">
        <f t="shared" si="54"/>
        <v>0.71161593066592355</v>
      </c>
      <c r="AM146" s="65">
        <f t="shared" si="70"/>
        <v>0.17232558285993335</v>
      </c>
      <c r="AO146" s="68"/>
      <c r="AP146" s="59">
        <f t="shared" si="71"/>
        <v>0</v>
      </c>
      <c r="AQ146" s="59">
        <f t="shared" si="72"/>
        <v>0</v>
      </c>
      <c r="AR146" s="59">
        <f t="shared" si="73"/>
        <v>0</v>
      </c>
      <c r="AS146" s="59">
        <f t="shared" si="74"/>
        <v>0</v>
      </c>
      <c r="AT146" s="59">
        <f t="shared" si="75"/>
        <v>0</v>
      </c>
      <c r="AU146" s="59">
        <f t="shared" si="76"/>
        <v>0</v>
      </c>
      <c r="AV146" s="59">
        <f t="shared" si="77"/>
        <v>-6.4235833869012438E-2</v>
      </c>
      <c r="AW146" s="59">
        <f t="shared" si="78"/>
        <v>-5.3836320828569706E-2</v>
      </c>
      <c r="AX146" s="59">
        <f t="shared" si="79"/>
        <v>-7.1236549193025467E-2</v>
      </c>
      <c r="AY146" s="59">
        <f t="shared" si="80"/>
        <v>0.67805483398619959</v>
      </c>
      <c r="AZ146" s="65">
        <f t="shared" si="81"/>
        <v>4.8874613009559198E-2</v>
      </c>
    </row>
    <row r="147" spans="1:52" ht="51">
      <c r="A147" s="515" t="s">
        <v>183</v>
      </c>
      <c r="B147" s="495">
        <v>20940</v>
      </c>
      <c r="C147" s="496">
        <v>21146</v>
      </c>
      <c r="D147" s="496">
        <v>21370</v>
      </c>
      <c r="E147" s="496">
        <v>203705</v>
      </c>
      <c r="F147" s="496">
        <v>175633</v>
      </c>
      <c r="G147" s="496">
        <v>216656</v>
      </c>
      <c r="H147" s="496">
        <v>316305</v>
      </c>
      <c r="I147" s="496">
        <v>657691</v>
      </c>
      <c r="J147" s="496">
        <v>2650246</v>
      </c>
      <c r="K147" s="496">
        <v>1282496</v>
      </c>
      <c r="L147" s="497">
        <v>3506280</v>
      </c>
      <c r="M147" s="463"/>
      <c r="O147" s="58">
        <f t="shared" si="57"/>
        <v>5.4685603233916034E-6</v>
      </c>
      <c r="P147" s="59">
        <f t="shared" si="58"/>
        <v>3.5298040566273621E-6</v>
      </c>
      <c r="Q147" s="59">
        <f t="shared" si="59"/>
        <v>1.9820233945036371E-6</v>
      </c>
      <c r="R147" s="59">
        <f t="shared" si="60"/>
        <v>2.1625914429412508E-5</v>
      </c>
      <c r="S147" s="59">
        <f t="shared" si="61"/>
        <v>1.4838672127991927E-5</v>
      </c>
      <c r="T147" s="59">
        <f t="shared" si="62"/>
        <v>1.5443787996046389E-5</v>
      </c>
      <c r="U147" s="59">
        <f t="shared" si="63"/>
        <v>2.1207651400510825E-5</v>
      </c>
      <c r="V147" s="59">
        <f t="shared" si="64"/>
        <v>3.2747654994201567E-5</v>
      </c>
      <c r="W147" s="59">
        <f t="shared" si="65"/>
        <v>1.1618282680503451E-4</v>
      </c>
      <c r="X147" s="59">
        <f t="shared" si="66"/>
        <v>4.6410797598028549E-5</v>
      </c>
      <c r="Y147" s="60">
        <f t="shared" si="67"/>
        <v>1.2838950420438448E-4</v>
      </c>
      <c r="Z147" s="60">
        <f t="shared" si="68"/>
        <v>3.7075199757284851E-5</v>
      </c>
      <c r="AB147" s="68"/>
      <c r="AC147" s="59">
        <f t="shared" si="69"/>
        <v>9.8376313276027361E-3</v>
      </c>
      <c r="AD147" s="59">
        <f t="shared" si="69"/>
        <v>1.0593019956492977E-2</v>
      </c>
      <c r="AE147" s="59">
        <f t="shared" si="69"/>
        <v>8.5322882545624701</v>
      </c>
      <c r="AF147" s="59">
        <f t="shared" si="56"/>
        <v>-0.13780712304558063</v>
      </c>
      <c r="AG147" s="59">
        <f t="shared" si="55"/>
        <v>0.23357227855812979</v>
      </c>
      <c r="AH147" s="59">
        <f t="shared" si="55"/>
        <v>0.45994110479285144</v>
      </c>
      <c r="AI147" s="59">
        <f t="shared" si="55"/>
        <v>1.0792937196693067</v>
      </c>
      <c r="AJ147" s="59">
        <f t="shared" si="55"/>
        <v>3.0296218132831374</v>
      </c>
      <c r="AK147" s="59">
        <f t="shared" ref="AK147:AL210" si="82">+IF(J147=0,"",K147/J147-1)</f>
        <v>-0.51608416728107498</v>
      </c>
      <c r="AL147" s="60">
        <f t="shared" si="82"/>
        <v>1.7339500474075553</v>
      </c>
      <c r="AM147" s="65">
        <f t="shared" si="70"/>
        <v>1.4435206579230893</v>
      </c>
      <c r="AO147" s="68"/>
      <c r="AP147" s="59">
        <f t="shared" si="71"/>
        <v>-7.1413672342434231E-2</v>
      </c>
      <c r="AQ147" s="59">
        <f t="shared" si="72"/>
        <v>-6.1223390658157961E-2</v>
      </c>
      <c r="AR147" s="59">
        <f t="shared" si="73"/>
        <v>7.9095132765328255</v>
      </c>
      <c r="AS147" s="59">
        <f t="shared" si="74"/>
        <v>-0.19035320034330039</v>
      </c>
      <c r="AT147" s="59">
        <f t="shared" si="75"/>
        <v>0.1692902805240275</v>
      </c>
      <c r="AU147" s="59">
        <f t="shared" si="76"/>
        <v>0.39237501959229304</v>
      </c>
      <c r="AV147" s="59">
        <f t="shared" si="77"/>
        <v>0.99013564286878508</v>
      </c>
      <c r="AW147" s="59">
        <f t="shared" si="78"/>
        <v>2.8126803039863164</v>
      </c>
      <c r="AX147" s="59">
        <f t="shared" si="79"/>
        <v>-0.55055648489001108</v>
      </c>
      <c r="AY147" s="59">
        <f t="shared" si="80"/>
        <v>1.6803431837328975</v>
      </c>
      <c r="AZ147" s="65">
        <f t="shared" si="81"/>
        <v>1.3080790959003239</v>
      </c>
    </row>
    <row r="148" spans="1:52" ht="25.5">
      <c r="A148" s="515" t="s">
        <v>184</v>
      </c>
      <c r="B148" s="495">
        <v>1398</v>
      </c>
      <c r="C148" s="496">
        <v>25443</v>
      </c>
      <c r="D148" s="496">
        <v>12055</v>
      </c>
      <c r="E148" s="496">
        <v>6275</v>
      </c>
      <c r="F148" s="496">
        <v>598</v>
      </c>
      <c r="G148" s="496">
        <v>844</v>
      </c>
      <c r="H148" s="496">
        <v>2381</v>
      </c>
      <c r="I148" s="496">
        <v>2162</v>
      </c>
      <c r="J148" s="496">
        <v>1997</v>
      </c>
      <c r="K148" s="496">
        <v>1884</v>
      </c>
      <c r="L148" s="497">
        <v>488392</v>
      </c>
      <c r="M148" s="463"/>
      <c r="O148" s="58">
        <f t="shared" si="57"/>
        <v>3.6509299580236208E-7</v>
      </c>
      <c r="P148" s="59">
        <f t="shared" si="58"/>
        <v>4.2470824086243252E-6</v>
      </c>
      <c r="Q148" s="59">
        <f t="shared" si="59"/>
        <v>1.1180763697118085E-6</v>
      </c>
      <c r="R148" s="59">
        <f t="shared" si="60"/>
        <v>6.6617222475915414E-7</v>
      </c>
      <c r="S148" s="59">
        <f t="shared" si="61"/>
        <v>5.0523113153787575E-8</v>
      </c>
      <c r="T148" s="59">
        <f t="shared" si="62"/>
        <v>6.0162456007048736E-8</v>
      </c>
      <c r="U148" s="59">
        <f t="shared" si="63"/>
        <v>1.5964154213375151E-7</v>
      </c>
      <c r="V148" s="59">
        <f t="shared" si="64"/>
        <v>1.0764999079729506E-7</v>
      </c>
      <c r="W148" s="59">
        <f t="shared" si="65"/>
        <v>8.7545497712157241E-8</v>
      </c>
      <c r="X148" s="59">
        <f t="shared" si="66"/>
        <v>6.8177945720443412E-8</v>
      </c>
      <c r="Y148" s="60">
        <f t="shared" si="67"/>
        <v>1.7883456751140166E-5</v>
      </c>
      <c r="Z148" s="60">
        <f t="shared" si="68"/>
        <v>2.2557801177783909E-6</v>
      </c>
      <c r="AB148" s="68"/>
      <c r="AC148" s="59">
        <f t="shared" si="69"/>
        <v>17.199570815450645</v>
      </c>
      <c r="AD148" s="59">
        <f t="shared" si="69"/>
        <v>-0.52619581024250284</v>
      </c>
      <c r="AE148" s="59">
        <f t="shared" si="69"/>
        <v>-0.47946909995852338</v>
      </c>
      <c r="AF148" s="59">
        <f t="shared" si="56"/>
        <v>-0.90470119521912351</v>
      </c>
      <c r="AG148" s="59">
        <f t="shared" si="55"/>
        <v>0.41137123745819393</v>
      </c>
      <c r="AH148" s="59">
        <f t="shared" si="55"/>
        <v>1.8210900473933651</v>
      </c>
      <c r="AI148" s="59">
        <f t="shared" si="55"/>
        <v>-9.1978160436791301E-2</v>
      </c>
      <c r="AJ148" s="59">
        <f t="shared" si="55"/>
        <v>-7.6318223866789991E-2</v>
      </c>
      <c r="AK148" s="59">
        <f t="shared" si="82"/>
        <v>-5.6584877315973947E-2</v>
      </c>
      <c r="AL148" s="60">
        <f t="shared" si="82"/>
        <v>258.23142250530788</v>
      </c>
      <c r="AM148" s="65">
        <f t="shared" si="70"/>
        <v>27.552820723857035</v>
      </c>
      <c r="AO148" s="68"/>
      <c r="AP148" s="59">
        <f t="shared" si="71"/>
        <v>15.73523753144887</v>
      </c>
      <c r="AQ148" s="59">
        <f t="shared" si="72"/>
        <v>-0.55986605689038815</v>
      </c>
      <c r="AR148" s="59">
        <f t="shared" si="73"/>
        <v>-0.513477053891507</v>
      </c>
      <c r="AS148" s="59">
        <f t="shared" si="74"/>
        <v>-0.9105091512997685</v>
      </c>
      <c r="AT148" s="59">
        <f t="shared" si="75"/>
        <v>0.33782405689272155</v>
      </c>
      <c r="AU148" s="59">
        <f t="shared" si="76"/>
        <v>1.6905299789941179</v>
      </c>
      <c r="AV148" s="59">
        <f t="shared" si="77"/>
        <v>-0.13091324697242657</v>
      </c>
      <c r="AW148" s="59">
        <f t="shared" si="78"/>
        <v>-0.1260461953513009</v>
      </c>
      <c r="AX148" s="59">
        <f t="shared" si="79"/>
        <v>-0.12379017118600721</v>
      </c>
      <c r="AY148" s="59">
        <f t="shared" si="80"/>
        <v>253.14845343657635</v>
      </c>
      <c r="AZ148" s="65">
        <f t="shared" si="81"/>
        <v>26.854744312832064</v>
      </c>
    </row>
    <row r="149" spans="1:52" ht="38.25">
      <c r="A149" s="515" t="s">
        <v>185</v>
      </c>
      <c r="B149" s="495"/>
      <c r="C149" s="496"/>
      <c r="D149" s="496"/>
      <c r="E149" s="496"/>
      <c r="F149" s="496"/>
      <c r="G149" s="496"/>
      <c r="H149" s="496"/>
      <c r="I149" s="496"/>
      <c r="J149" s="496"/>
      <c r="K149" s="496">
        <v>18316</v>
      </c>
      <c r="L149" s="497"/>
      <c r="M149" s="463"/>
      <c r="O149" s="58">
        <f t="shared" si="57"/>
        <v>0</v>
      </c>
      <c r="P149" s="59">
        <f t="shared" si="58"/>
        <v>0</v>
      </c>
      <c r="Q149" s="59">
        <f t="shared" si="59"/>
        <v>0</v>
      </c>
      <c r="R149" s="59">
        <f t="shared" si="60"/>
        <v>0</v>
      </c>
      <c r="S149" s="59">
        <f t="shared" si="61"/>
        <v>0</v>
      </c>
      <c r="T149" s="59">
        <f t="shared" si="62"/>
        <v>0</v>
      </c>
      <c r="U149" s="59">
        <f t="shared" si="63"/>
        <v>0</v>
      </c>
      <c r="V149" s="59">
        <f t="shared" si="64"/>
        <v>0</v>
      </c>
      <c r="W149" s="59">
        <f t="shared" si="65"/>
        <v>0</v>
      </c>
      <c r="X149" s="59">
        <f t="shared" si="66"/>
        <v>6.628170137025698E-7</v>
      </c>
      <c r="Y149" s="60">
        <f t="shared" si="67"/>
        <v>0</v>
      </c>
      <c r="Z149" s="60">
        <f t="shared" si="68"/>
        <v>6.0256092154779068E-8</v>
      </c>
      <c r="AB149" s="68"/>
      <c r="AC149" s="59" t="str">
        <f t="shared" si="69"/>
        <v/>
      </c>
      <c r="AD149" s="59" t="str">
        <f t="shared" si="69"/>
        <v/>
      </c>
      <c r="AE149" s="59" t="str">
        <f t="shared" si="69"/>
        <v/>
      </c>
      <c r="AF149" s="59" t="str">
        <f t="shared" si="56"/>
        <v/>
      </c>
      <c r="AG149" s="59" t="str">
        <f t="shared" si="55"/>
        <v/>
      </c>
      <c r="AH149" s="59" t="str">
        <f t="shared" si="55"/>
        <v/>
      </c>
      <c r="AI149" s="59" t="str">
        <f t="shared" si="55"/>
        <v/>
      </c>
      <c r="AJ149" s="59" t="str">
        <f t="shared" si="55"/>
        <v/>
      </c>
      <c r="AK149" s="59" t="str">
        <f t="shared" si="82"/>
        <v/>
      </c>
      <c r="AL149" s="60">
        <f t="shared" si="82"/>
        <v>-1</v>
      </c>
      <c r="AM149" s="65">
        <f t="shared" si="70"/>
        <v>-1</v>
      </c>
      <c r="AO149" s="68"/>
      <c r="AP149" s="59">
        <f t="shared" si="71"/>
        <v>0</v>
      </c>
      <c r="AQ149" s="59">
        <f t="shared" si="72"/>
        <v>0</v>
      </c>
      <c r="AR149" s="59">
        <f t="shared" si="73"/>
        <v>0</v>
      </c>
      <c r="AS149" s="59">
        <f t="shared" si="74"/>
        <v>0</v>
      </c>
      <c r="AT149" s="59">
        <f t="shared" si="75"/>
        <v>0</v>
      </c>
      <c r="AU149" s="59">
        <f t="shared" si="76"/>
        <v>0</v>
      </c>
      <c r="AV149" s="59">
        <f t="shared" si="77"/>
        <v>0</v>
      </c>
      <c r="AW149" s="59">
        <f t="shared" si="78"/>
        <v>0</v>
      </c>
      <c r="AX149" s="59">
        <f t="shared" si="79"/>
        <v>0</v>
      </c>
      <c r="AY149" s="59">
        <f t="shared" si="80"/>
        <v>-1</v>
      </c>
      <c r="AZ149" s="65">
        <f t="shared" si="81"/>
        <v>-0.1</v>
      </c>
    </row>
    <row r="150" spans="1:52" ht="38.25">
      <c r="A150" s="515" t="s">
        <v>186</v>
      </c>
      <c r="B150" s="495">
        <v>1015100</v>
      </c>
      <c r="C150" s="496"/>
      <c r="D150" s="496"/>
      <c r="E150" s="496">
        <v>386</v>
      </c>
      <c r="F150" s="496">
        <v>31805</v>
      </c>
      <c r="G150" s="496"/>
      <c r="H150" s="496">
        <v>757653</v>
      </c>
      <c r="I150" s="496">
        <v>550551</v>
      </c>
      <c r="J150" s="496">
        <v>874109</v>
      </c>
      <c r="K150" s="496">
        <v>1108673</v>
      </c>
      <c r="L150" s="497">
        <v>7686412</v>
      </c>
      <c r="M150" s="463"/>
      <c r="O150" s="58">
        <f t="shared" si="57"/>
        <v>2.6509721032831027E-4</v>
      </c>
      <c r="P150" s="59">
        <f t="shared" si="58"/>
        <v>0</v>
      </c>
      <c r="Q150" s="59">
        <f t="shared" si="59"/>
        <v>0</v>
      </c>
      <c r="R150" s="59">
        <f t="shared" si="60"/>
        <v>4.0978881076818084E-8</v>
      </c>
      <c r="S150" s="59">
        <f t="shared" si="61"/>
        <v>2.6871030332043708E-6</v>
      </c>
      <c r="T150" s="59">
        <f t="shared" si="62"/>
        <v>0</v>
      </c>
      <c r="U150" s="59">
        <f t="shared" si="63"/>
        <v>5.0799199211366329E-5</v>
      </c>
      <c r="V150" s="59">
        <f t="shared" si="64"/>
        <v>2.7412955635264384E-5</v>
      </c>
      <c r="W150" s="59">
        <f t="shared" si="65"/>
        <v>3.8319633179607443E-5</v>
      </c>
      <c r="X150" s="59">
        <f t="shared" si="66"/>
        <v>4.0120513596454966E-5</v>
      </c>
      <c r="Y150" s="60">
        <f t="shared" si="67"/>
        <v>2.8145345659520384E-4</v>
      </c>
      <c r="Z150" s="60">
        <f t="shared" si="68"/>
        <v>6.417555004186259E-5</v>
      </c>
      <c r="AB150" s="68"/>
      <c r="AC150" s="59">
        <f t="shared" si="69"/>
        <v>-1</v>
      </c>
      <c r="AD150" s="59" t="str">
        <f t="shared" si="69"/>
        <v/>
      </c>
      <c r="AE150" s="59" t="str">
        <f t="shared" si="69"/>
        <v/>
      </c>
      <c r="AF150" s="59">
        <f t="shared" si="56"/>
        <v>81.396373056994818</v>
      </c>
      <c r="AG150" s="59">
        <f t="shared" si="55"/>
        <v>-1</v>
      </c>
      <c r="AH150" s="59" t="str">
        <f t="shared" si="55"/>
        <v/>
      </c>
      <c r="AI150" s="59">
        <f t="shared" si="55"/>
        <v>-0.27334676956337534</v>
      </c>
      <c r="AJ150" s="59">
        <f t="shared" si="55"/>
        <v>0.58769850567885618</v>
      </c>
      <c r="AK150" s="59">
        <f t="shared" si="82"/>
        <v>0.26834639615883149</v>
      </c>
      <c r="AL150" s="60">
        <f t="shared" si="82"/>
        <v>5.9329838464542748</v>
      </c>
      <c r="AM150" s="65">
        <f t="shared" si="70"/>
        <v>12.27315071938906</v>
      </c>
      <c r="AO150" s="68"/>
      <c r="AP150" s="59">
        <f t="shared" si="71"/>
        <v>-1</v>
      </c>
      <c r="AQ150" s="59">
        <f t="shared" si="72"/>
        <v>0</v>
      </c>
      <c r="AR150" s="59">
        <f t="shared" si="73"/>
        <v>0</v>
      </c>
      <c r="AS150" s="59">
        <f t="shared" si="74"/>
        <v>76.3747516733917</v>
      </c>
      <c r="AT150" s="59">
        <f t="shared" si="75"/>
        <v>-1</v>
      </c>
      <c r="AU150" s="59">
        <f t="shared" si="76"/>
        <v>0</v>
      </c>
      <c r="AV150" s="59">
        <f t="shared" si="77"/>
        <v>-0.30450494789756444</v>
      </c>
      <c r="AW150" s="59">
        <f t="shared" si="78"/>
        <v>0.50222206990146301</v>
      </c>
      <c r="AX150" s="59">
        <f t="shared" si="79"/>
        <v>0.17799423809680648</v>
      </c>
      <c r="AY150" s="59">
        <f t="shared" si="80"/>
        <v>5.7970429867198767</v>
      </c>
      <c r="AZ150" s="65">
        <f t="shared" si="81"/>
        <v>8.0547506020212261</v>
      </c>
    </row>
    <row r="151" spans="1:52" ht="25.5">
      <c r="A151" s="515" t="s">
        <v>187</v>
      </c>
      <c r="B151" s="495">
        <v>157888</v>
      </c>
      <c r="C151" s="496">
        <v>2928404</v>
      </c>
      <c r="D151" s="496">
        <v>5890371</v>
      </c>
      <c r="E151" s="496">
        <v>1351689</v>
      </c>
      <c r="F151" s="496">
        <v>2017736</v>
      </c>
      <c r="G151" s="496">
        <v>3139077</v>
      </c>
      <c r="H151" s="496">
        <v>2181987</v>
      </c>
      <c r="I151" s="496">
        <v>3416984</v>
      </c>
      <c r="J151" s="496">
        <v>8604932</v>
      </c>
      <c r="K151" s="496">
        <v>2861031</v>
      </c>
      <c r="L151" s="497">
        <v>3681302</v>
      </c>
      <c r="M151" s="463"/>
      <c r="O151" s="58">
        <f t="shared" si="57"/>
        <v>4.1233049299887946E-5</v>
      </c>
      <c r="P151" s="59">
        <f t="shared" si="58"/>
        <v>4.8882494649786219E-4</v>
      </c>
      <c r="Q151" s="59">
        <f t="shared" si="59"/>
        <v>5.4631975312614801E-4</v>
      </c>
      <c r="R151" s="59">
        <f t="shared" si="60"/>
        <v>1.4349923000995637E-4</v>
      </c>
      <c r="S151" s="59">
        <f t="shared" si="61"/>
        <v>1.7047208067302798E-4</v>
      </c>
      <c r="T151" s="59">
        <f t="shared" si="62"/>
        <v>2.2376135298014045E-4</v>
      </c>
      <c r="U151" s="59">
        <f t="shared" si="63"/>
        <v>1.462980972682898E-4</v>
      </c>
      <c r="V151" s="59">
        <f t="shared" si="64"/>
        <v>1.7013797231938226E-4</v>
      </c>
      <c r="W151" s="59">
        <f t="shared" si="65"/>
        <v>3.7722736841225274E-4</v>
      </c>
      <c r="X151" s="59">
        <f t="shared" si="66"/>
        <v>1.0353461582935558E-4</v>
      </c>
      <c r="Y151" s="60">
        <f t="shared" si="67"/>
        <v>1.3479828724648603E-4</v>
      </c>
      <c r="Z151" s="60">
        <f t="shared" si="68"/>
        <v>2.3146425033298082E-4</v>
      </c>
      <c r="AB151" s="68"/>
      <c r="AC151" s="59">
        <f t="shared" si="69"/>
        <v>17.54735002026753</v>
      </c>
      <c r="AD151" s="59">
        <f t="shared" si="69"/>
        <v>1.0114611918300889</v>
      </c>
      <c r="AE151" s="59">
        <f t="shared" si="69"/>
        <v>-0.77052565958918373</v>
      </c>
      <c r="AF151" s="59">
        <f t="shared" si="56"/>
        <v>0.49275166106996515</v>
      </c>
      <c r="AG151" s="59">
        <f t="shared" si="55"/>
        <v>0.55574217836228335</v>
      </c>
      <c r="AH151" s="59">
        <f t="shared" si="55"/>
        <v>-0.30489535618272501</v>
      </c>
      <c r="AI151" s="59">
        <f t="shared" si="55"/>
        <v>0.56599649768765814</v>
      </c>
      <c r="AJ151" s="59">
        <f t="shared" si="55"/>
        <v>1.518282789735041</v>
      </c>
      <c r="AK151" s="59">
        <f t="shared" si="82"/>
        <v>-0.66751265437077256</v>
      </c>
      <c r="AL151" s="60">
        <f t="shared" si="82"/>
        <v>0.28670468792543669</v>
      </c>
      <c r="AM151" s="65">
        <f t="shared" si="70"/>
        <v>2.0235355356735321</v>
      </c>
      <c r="AO151" s="68"/>
      <c r="AP151" s="59">
        <f t="shared" si="71"/>
        <v>16.055034501395429</v>
      </c>
      <c r="AQ151" s="59">
        <f t="shared" si="72"/>
        <v>0.8685194536275791</v>
      </c>
      <c r="AR151" s="59">
        <f t="shared" si="73"/>
        <v>-0.78551795456508433</v>
      </c>
      <c r="AS151" s="59">
        <f t="shared" si="74"/>
        <v>0.40177637437314795</v>
      </c>
      <c r="AT151" s="59">
        <f t="shared" si="75"/>
        <v>0.47467176409523515</v>
      </c>
      <c r="AU151" s="59">
        <f t="shared" si="76"/>
        <v>-0.33706480427434893</v>
      </c>
      <c r="AV151" s="59">
        <f t="shared" si="77"/>
        <v>0.49884810268726865</v>
      </c>
      <c r="AW151" s="59">
        <f t="shared" si="78"/>
        <v>1.3827067742785895</v>
      </c>
      <c r="AX151" s="59">
        <f t="shared" si="79"/>
        <v>-0.69119778431389667</v>
      </c>
      <c r="AY151" s="59">
        <f t="shared" si="80"/>
        <v>0.26147518424062421</v>
      </c>
      <c r="AZ151" s="65">
        <f t="shared" si="81"/>
        <v>1.8129251611544546</v>
      </c>
    </row>
    <row r="152" spans="1:52" ht="51">
      <c r="A152" s="515" t="s">
        <v>44</v>
      </c>
      <c r="B152" s="495">
        <v>63546330</v>
      </c>
      <c r="C152" s="496">
        <v>53039719</v>
      </c>
      <c r="D152" s="496">
        <v>83847796</v>
      </c>
      <c r="E152" s="496">
        <v>129051688</v>
      </c>
      <c r="F152" s="496">
        <v>222351281</v>
      </c>
      <c r="G152" s="496">
        <v>467709191</v>
      </c>
      <c r="H152" s="496">
        <v>179580971</v>
      </c>
      <c r="I152" s="496">
        <v>262614623</v>
      </c>
      <c r="J152" s="496">
        <v>357510079</v>
      </c>
      <c r="K152" s="496">
        <v>285265520.97000003</v>
      </c>
      <c r="L152" s="497">
        <v>353577727.95999998</v>
      </c>
      <c r="M152" s="463"/>
      <c r="O152" s="58">
        <f t="shared" si="57"/>
        <v>1.659536480110552E-2</v>
      </c>
      <c r="P152" s="59">
        <f t="shared" si="58"/>
        <v>8.8536751767982307E-3</v>
      </c>
      <c r="Q152" s="59">
        <f t="shared" si="59"/>
        <v>7.7767100257168219E-3</v>
      </c>
      <c r="R152" s="59">
        <f t="shared" si="60"/>
        <v>1.3700502008587127E-2</v>
      </c>
      <c r="S152" s="59">
        <f t="shared" si="61"/>
        <v>1.8785750718817086E-2</v>
      </c>
      <c r="T152" s="59">
        <f t="shared" si="62"/>
        <v>3.3339494819466658E-2</v>
      </c>
      <c r="U152" s="59">
        <f t="shared" si="63"/>
        <v>1.2040564111010713E-2</v>
      </c>
      <c r="V152" s="59">
        <f t="shared" si="64"/>
        <v>1.3076069264192929E-2</v>
      </c>
      <c r="W152" s="59">
        <f t="shared" si="65"/>
        <v>1.5672707963529122E-2</v>
      </c>
      <c r="X152" s="59">
        <f t="shared" si="66"/>
        <v>1.0323151382487619E-2</v>
      </c>
      <c r="Y152" s="60">
        <f t="shared" si="67"/>
        <v>1.2946960650745841E-2</v>
      </c>
      <c r="Z152" s="60">
        <f t="shared" si="68"/>
        <v>1.4828268265677973E-2</v>
      </c>
      <c r="AB152" s="68"/>
      <c r="AC152" s="59">
        <f t="shared" si="69"/>
        <v>-0.16533780943761822</v>
      </c>
      <c r="AD152" s="59">
        <f t="shared" si="69"/>
        <v>0.58084917455916396</v>
      </c>
      <c r="AE152" s="59">
        <f t="shared" si="69"/>
        <v>0.53911842834843271</v>
      </c>
      <c r="AF152" s="59">
        <f t="shared" si="56"/>
        <v>0.72296298053846453</v>
      </c>
      <c r="AG152" s="59">
        <f t="shared" si="55"/>
        <v>1.1034697389487942</v>
      </c>
      <c r="AH152" s="59">
        <f t="shared" si="55"/>
        <v>-0.61604138970191835</v>
      </c>
      <c r="AI152" s="59">
        <f t="shared" si="55"/>
        <v>0.46237444612102019</v>
      </c>
      <c r="AJ152" s="59">
        <f t="shared" si="55"/>
        <v>0.3613487128628019</v>
      </c>
      <c r="AK152" s="59">
        <f t="shared" si="82"/>
        <v>-0.20207698264641083</v>
      </c>
      <c r="AL152" s="60">
        <f t="shared" si="82"/>
        <v>0.23946885258938821</v>
      </c>
      <c r="AM152" s="65">
        <f t="shared" si="70"/>
        <v>0.30261361521821184</v>
      </c>
      <c r="AO152" s="68"/>
      <c r="AP152" s="59">
        <f t="shared" si="71"/>
        <v>-0.2324945374139018</v>
      </c>
      <c r="AQ152" s="59">
        <f t="shared" si="72"/>
        <v>0.46850829034757457</v>
      </c>
      <c r="AR152" s="59">
        <f t="shared" si="73"/>
        <v>0.43856288283805278</v>
      </c>
      <c r="AS152" s="59">
        <f t="shared" si="74"/>
        <v>0.61795753642451356</v>
      </c>
      <c r="AT152" s="59">
        <f t="shared" si="75"/>
        <v>0.9938569988003636</v>
      </c>
      <c r="AU152" s="59">
        <f t="shared" si="76"/>
        <v>-0.63381099704547561</v>
      </c>
      <c r="AV152" s="59">
        <f t="shared" si="77"/>
        <v>0.39966926313267637</v>
      </c>
      <c r="AW152" s="59">
        <f t="shared" si="78"/>
        <v>0.28805820121374026</v>
      </c>
      <c r="AX152" s="59">
        <f t="shared" si="79"/>
        <v>-0.25891797403771788</v>
      </c>
      <c r="AY152" s="59">
        <f t="shared" si="80"/>
        <v>0.21516554175430214</v>
      </c>
      <c r="AZ152" s="65">
        <f t="shared" si="81"/>
        <v>0.22965552060141281</v>
      </c>
    </row>
    <row r="153" spans="1:52" ht="25.5">
      <c r="A153" s="515" t="s">
        <v>188</v>
      </c>
      <c r="B153" s="495">
        <v>177</v>
      </c>
      <c r="C153" s="496">
        <v>5088</v>
      </c>
      <c r="D153" s="496">
        <v>1400</v>
      </c>
      <c r="E153" s="496">
        <v>30007974</v>
      </c>
      <c r="F153" s="496">
        <v>720</v>
      </c>
      <c r="G153" s="496">
        <v>1924</v>
      </c>
      <c r="H153" s="496">
        <v>8579</v>
      </c>
      <c r="I153" s="496">
        <v>16347</v>
      </c>
      <c r="J153" s="496">
        <v>70201365</v>
      </c>
      <c r="K153" s="496">
        <v>13517784</v>
      </c>
      <c r="L153" s="497">
        <v>42736</v>
      </c>
      <c r="M153" s="463"/>
      <c r="O153" s="58">
        <f t="shared" si="57"/>
        <v>4.6224220498582322E-8</v>
      </c>
      <c r="P153" s="59">
        <f t="shared" si="58"/>
        <v>8.4931632649768363E-7</v>
      </c>
      <c r="Q153" s="59">
        <f t="shared" si="59"/>
        <v>1.2984711054305531E-7</v>
      </c>
      <c r="R153" s="59">
        <f t="shared" si="60"/>
        <v>3.1857336733218888E-3</v>
      </c>
      <c r="S153" s="59">
        <f t="shared" si="61"/>
        <v>6.0830504131650597E-8</v>
      </c>
      <c r="T153" s="59">
        <f t="shared" si="62"/>
        <v>1.3714758928621063E-7</v>
      </c>
      <c r="U153" s="59">
        <f t="shared" si="63"/>
        <v>5.7520570767133732E-7</v>
      </c>
      <c r="V153" s="59">
        <f t="shared" si="64"/>
        <v>8.139474558572536E-7</v>
      </c>
      <c r="W153" s="59">
        <f t="shared" si="65"/>
        <v>3.0775230040049153E-3</v>
      </c>
      <c r="X153" s="59">
        <f t="shared" si="66"/>
        <v>4.8917980032520082E-4</v>
      </c>
      <c r="Y153" s="60">
        <f t="shared" si="67"/>
        <v>1.5648647146487374E-6</v>
      </c>
      <c r="Z153" s="60">
        <f t="shared" si="68"/>
        <v>6.1423762375283086E-4</v>
      </c>
      <c r="AB153" s="68"/>
      <c r="AC153" s="59">
        <f t="shared" si="69"/>
        <v>27.745762711864408</v>
      </c>
      <c r="AD153" s="59">
        <f t="shared" si="69"/>
        <v>-0.72484276729559749</v>
      </c>
      <c r="AE153" s="59">
        <f t="shared" si="69"/>
        <v>21433.267142857141</v>
      </c>
      <c r="AF153" s="59">
        <f t="shared" si="56"/>
        <v>-0.99997600637750483</v>
      </c>
      <c r="AG153" s="59">
        <f t="shared" si="55"/>
        <v>1.6722222222222221</v>
      </c>
      <c r="AH153" s="59">
        <f t="shared" si="55"/>
        <v>3.4589397089397087</v>
      </c>
      <c r="AI153" s="59">
        <f t="shared" si="55"/>
        <v>0.90546683762676294</v>
      </c>
      <c r="AJ153" s="59">
        <f t="shared" si="55"/>
        <v>4293.4494402642686</v>
      </c>
      <c r="AK153" s="59">
        <f t="shared" si="82"/>
        <v>-0.80744271852833627</v>
      </c>
      <c r="AL153" s="60">
        <f t="shared" si="82"/>
        <v>-0.99683853507350018</v>
      </c>
      <c r="AM153" s="65">
        <f t="shared" si="70"/>
        <v>2575.6969874574788</v>
      </c>
      <c r="AO153" s="68"/>
      <c r="AP153" s="59">
        <f t="shared" si="71"/>
        <v>25.432885252289115</v>
      </c>
      <c r="AQ153" s="59">
        <f t="shared" si="72"/>
        <v>-0.74439643966149327</v>
      </c>
      <c r="AR153" s="59">
        <f t="shared" si="73"/>
        <v>20032.897694043499</v>
      </c>
      <c r="AS153" s="59">
        <f t="shared" si="74"/>
        <v>-0.99997746866138115</v>
      </c>
      <c r="AT153" s="59">
        <f t="shared" si="75"/>
        <v>1.5329715381550066</v>
      </c>
      <c r="AU153" s="59">
        <f t="shared" si="76"/>
        <v>3.2525799460086411</v>
      </c>
      <c r="AV153" s="59">
        <f t="shared" si="77"/>
        <v>0.82376228716190947</v>
      </c>
      <c r="AW153" s="59">
        <f t="shared" si="78"/>
        <v>4062.2504875241448</v>
      </c>
      <c r="AX153" s="59">
        <f t="shared" si="79"/>
        <v>-0.82115976458469053</v>
      </c>
      <c r="AY153" s="59">
        <f t="shared" si="80"/>
        <v>-0.99690052458186296</v>
      </c>
      <c r="AZ153" s="65">
        <f t="shared" si="81"/>
        <v>2412.2627946393768</v>
      </c>
    </row>
    <row r="154" spans="1:52" ht="63.75">
      <c r="A154" s="515" t="s">
        <v>189</v>
      </c>
      <c r="B154" s="495"/>
      <c r="C154" s="496"/>
      <c r="D154" s="496"/>
      <c r="E154" s="496">
        <v>4462910</v>
      </c>
      <c r="F154" s="496"/>
      <c r="G154" s="496"/>
      <c r="H154" s="496"/>
      <c r="I154" s="496">
        <v>2463297</v>
      </c>
      <c r="J154" s="496"/>
      <c r="K154" s="496"/>
      <c r="L154" s="497"/>
      <c r="M154" s="463"/>
      <c r="O154" s="58">
        <f t="shared" si="57"/>
        <v>0</v>
      </c>
      <c r="P154" s="59">
        <f t="shared" si="58"/>
        <v>0</v>
      </c>
      <c r="Q154" s="59">
        <f t="shared" si="59"/>
        <v>0</v>
      </c>
      <c r="R154" s="59">
        <f t="shared" si="60"/>
        <v>4.7379548742627512E-4</v>
      </c>
      <c r="S154" s="59">
        <f t="shared" si="61"/>
        <v>0</v>
      </c>
      <c r="T154" s="59">
        <f t="shared" si="62"/>
        <v>0</v>
      </c>
      <c r="U154" s="59">
        <f t="shared" si="63"/>
        <v>0</v>
      </c>
      <c r="V154" s="59">
        <f t="shared" si="64"/>
        <v>1.2265212737326759E-4</v>
      </c>
      <c r="W154" s="59">
        <f t="shared" si="65"/>
        <v>0</v>
      </c>
      <c r="X154" s="59">
        <f t="shared" si="66"/>
        <v>0</v>
      </c>
      <c r="Y154" s="60">
        <f t="shared" si="67"/>
        <v>0</v>
      </c>
      <c r="Z154" s="60">
        <f t="shared" si="68"/>
        <v>5.4222510436322065E-5</v>
      </c>
      <c r="AB154" s="68"/>
      <c r="AC154" s="59" t="str">
        <f t="shared" si="69"/>
        <v/>
      </c>
      <c r="AD154" s="59" t="str">
        <f t="shared" si="69"/>
        <v/>
      </c>
      <c r="AE154" s="59" t="str">
        <f t="shared" si="69"/>
        <v/>
      </c>
      <c r="AF154" s="59">
        <f t="shared" si="56"/>
        <v>-1</v>
      </c>
      <c r="AG154" s="59" t="str">
        <f t="shared" si="55"/>
        <v/>
      </c>
      <c r="AH154" s="59" t="str">
        <f t="shared" si="55"/>
        <v/>
      </c>
      <c r="AI154" s="59" t="str">
        <f t="shared" si="55"/>
        <v/>
      </c>
      <c r="AJ154" s="59">
        <f t="shared" si="55"/>
        <v>-1</v>
      </c>
      <c r="AK154" s="59" t="str">
        <f t="shared" si="82"/>
        <v/>
      </c>
      <c r="AL154" s="60" t="str">
        <f t="shared" si="82"/>
        <v/>
      </c>
      <c r="AM154" s="65">
        <f t="shared" si="70"/>
        <v>-1</v>
      </c>
      <c r="AO154" s="68"/>
      <c r="AP154" s="59">
        <f t="shared" si="71"/>
        <v>0</v>
      </c>
      <c r="AQ154" s="59">
        <f t="shared" si="72"/>
        <v>0</v>
      </c>
      <c r="AR154" s="59">
        <f t="shared" si="73"/>
        <v>0</v>
      </c>
      <c r="AS154" s="59">
        <f t="shared" si="74"/>
        <v>-1</v>
      </c>
      <c r="AT154" s="59">
        <f t="shared" si="75"/>
        <v>0</v>
      </c>
      <c r="AU154" s="59">
        <f t="shared" si="76"/>
        <v>0</v>
      </c>
      <c r="AV154" s="59">
        <f t="shared" si="77"/>
        <v>0</v>
      </c>
      <c r="AW154" s="59">
        <f t="shared" si="78"/>
        <v>-1</v>
      </c>
      <c r="AX154" s="59">
        <f t="shared" si="79"/>
        <v>0</v>
      </c>
      <c r="AY154" s="59">
        <f t="shared" si="80"/>
        <v>0</v>
      </c>
      <c r="AZ154" s="65">
        <f t="shared" si="81"/>
        <v>-0.2</v>
      </c>
    </row>
    <row r="155" spans="1:52" ht="25.5">
      <c r="A155" s="515" t="s">
        <v>190</v>
      </c>
      <c r="B155" s="495">
        <v>119209</v>
      </c>
      <c r="C155" s="496"/>
      <c r="D155" s="496"/>
      <c r="E155" s="496">
        <v>106721000</v>
      </c>
      <c r="F155" s="496">
        <v>183072000</v>
      </c>
      <c r="G155" s="496">
        <v>277787000</v>
      </c>
      <c r="H155" s="496">
        <v>300000000</v>
      </c>
      <c r="I155" s="496"/>
      <c r="J155" s="496">
        <v>300801</v>
      </c>
      <c r="K155" s="496">
        <v>346</v>
      </c>
      <c r="L155" s="497">
        <v>5732</v>
      </c>
      <c r="M155" s="463"/>
      <c r="O155" s="58">
        <f t="shared" si="57"/>
        <v>3.1131881928901128E-5</v>
      </c>
      <c r="P155" s="59">
        <f t="shared" si="58"/>
        <v>0</v>
      </c>
      <c r="Q155" s="59">
        <f t="shared" si="59"/>
        <v>0</v>
      </c>
      <c r="R155" s="59">
        <f t="shared" si="60"/>
        <v>1.1329811314505448E-2</v>
      </c>
      <c r="S155" s="59">
        <f t="shared" si="61"/>
        <v>1.5467169517207691E-2</v>
      </c>
      <c r="T155" s="59">
        <f t="shared" si="62"/>
        <v>1.9801360387239394E-2</v>
      </c>
      <c r="U155" s="59">
        <f t="shared" si="63"/>
        <v>2.0114432020212285E-2</v>
      </c>
      <c r="V155" s="59">
        <f t="shared" si="64"/>
        <v>0</v>
      </c>
      <c r="W155" s="59">
        <f t="shared" si="65"/>
        <v>1.3186666628600207E-5</v>
      </c>
      <c r="X155" s="59">
        <f t="shared" si="66"/>
        <v>1.2521002770314979E-8</v>
      </c>
      <c r="Y155" s="60">
        <f t="shared" si="67"/>
        <v>2.0988872483074137E-7</v>
      </c>
      <c r="Z155" s="60">
        <f t="shared" si="68"/>
        <v>6.0688467452227196E-3</v>
      </c>
      <c r="AB155" s="68"/>
      <c r="AC155" s="59">
        <f t="shared" si="69"/>
        <v>-1</v>
      </c>
      <c r="AD155" s="59" t="str">
        <f t="shared" si="69"/>
        <v/>
      </c>
      <c r="AE155" s="59" t="str">
        <f t="shared" si="69"/>
        <v/>
      </c>
      <c r="AF155" s="59">
        <f t="shared" si="56"/>
        <v>0.71542620477694174</v>
      </c>
      <c r="AG155" s="59">
        <f t="shared" si="55"/>
        <v>0.51736475266561799</v>
      </c>
      <c r="AH155" s="59">
        <f t="shared" si="55"/>
        <v>7.9964145190379643E-2</v>
      </c>
      <c r="AI155" s="59">
        <f t="shared" si="55"/>
        <v>-1</v>
      </c>
      <c r="AJ155" s="59" t="str">
        <f t="shared" si="55"/>
        <v/>
      </c>
      <c r="AK155" s="59">
        <f t="shared" si="82"/>
        <v>-0.99884973786656295</v>
      </c>
      <c r="AL155" s="60">
        <f t="shared" si="82"/>
        <v>15.566473988439306</v>
      </c>
      <c r="AM155" s="65">
        <f t="shared" si="70"/>
        <v>1.9829113361722404</v>
      </c>
      <c r="AO155" s="68"/>
      <c r="AP155" s="59">
        <f t="shared" si="71"/>
        <v>-1</v>
      </c>
      <c r="AQ155" s="59">
        <f t="shared" si="72"/>
        <v>0</v>
      </c>
      <c r="AR155" s="59">
        <f t="shared" si="73"/>
        <v>0</v>
      </c>
      <c r="AS155" s="59">
        <f t="shared" si="74"/>
        <v>0.61088008712267983</v>
      </c>
      <c r="AT155" s="59">
        <f t="shared" si="75"/>
        <v>0.43829420305674005</v>
      </c>
      <c r="AU155" s="59">
        <f t="shared" si="76"/>
        <v>2.9983396509538407E-2</v>
      </c>
      <c r="AV155" s="59">
        <f t="shared" si="77"/>
        <v>-1</v>
      </c>
      <c r="AW155" s="59">
        <f t="shared" si="78"/>
        <v>0</v>
      </c>
      <c r="AX155" s="59">
        <f t="shared" si="79"/>
        <v>-0.9989316781522829</v>
      </c>
      <c r="AY155" s="59">
        <f t="shared" si="80"/>
        <v>15.241641165136574</v>
      </c>
      <c r="AZ155" s="65">
        <f t="shared" si="81"/>
        <v>1.332186717367325</v>
      </c>
    </row>
    <row r="156" spans="1:52" ht="25.5">
      <c r="A156" s="515" t="s">
        <v>191</v>
      </c>
      <c r="B156" s="495"/>
      <c r="C156" s="496"/>
      <c r="D156" s="496"/>
      <c r="E156" s="496"/>
      <c r="F156" s="496"/>
      <c r="G156" s="496"/>
      <c r="H156" s="496"/>
      <c r="I156" s="496">
        <v>0</v>
      </c>
      <c r="J156" s="496"/>
      <c r="K156" s="496">
        <v>12500</v>
      </c>
      <c r="L156" s="497"/>
      <c r="M156" s="463"/>
      <c r="O156" s="58">
        <f t="shared" si="57"/>
        <v>0</v>
      </c>
      <c r="P156" s="59">
        <f t="shared" si="58"/>
        <v>0</v>
      </c>
      <c r="Q156" s="59">
        <f t="shared" si="59"/>
        <v>0</v>
      </c>
      <c r="R156" s="59">
        <f t="shared" si="60"/>
        <v>0</v>
      </c>
      <c r="S156" s="59">
        <f t="shared" si="61"/>
        <v>0</v>
      </c>
      <c r="T156" s="59">
        <f t="shared" si="62"/>
        <v>0</v>
      </c>
      <c r="U156" s="59">
        <f t="shared" si="63"/>
        <v>0</v>
      </c>
      <c r="V156" s="59">
        <f t="shared" si="64"/>
        <v>0</v>
      </c>
      <c r="W156" s="59">
        <f t="shared" si="65"/>
        <v>0</v>
      </c>
      <c r="X156" s="59">
        <f t="shared" si="66"/>
        <v>4.5234836597958735E-7</v>
      </c>
      <c r="Y156" s="60">
        <f t="shared" si="67"/>
        <v>0</v>
      </c>
      <c r="Z156" s="60">
        <f t="shared" si="68"/>
        <v>4.112257872541703E-8</v>
      </c>
      <c r="AB156" s="68"/>
      <c r="AC156" s="59" t="str">
        <f t="shared" si="69"/>
        <v/>
      </c>
      <c r="AD156" s="59" t="str">
        <f t="shared" si="69"/>
        <v/>
      </c>
      <c r="AE156" s="59" t="str">
        <f t="shared" si="69"/>
        <v/>
      </c>
      <c r="AF156" s="59" t="str">
        <f t="shared" si="56"/>
        <v/>
      </c>
      <c r="AG156" s="59" t="str">
        <f t="shared" si="55"/>
        <v/>
      </c>
      <c r="AH156" s="59" t="str">
        <f t="shared" si="55"/>
        <v/>
      </c>
      <c r="AI156" s="59" t="str">
        <f t="shared" si="55"/>
        <v/>
      </c>
      <c r="AJ156" s="59" t="str">
        <f t="shared" si="55"/>
        <v/>
      </c>
      <c r="AK156" s="59" t="str">
        <f t="shared" si="82"/>
        <v/>
      </c>
      <c r="AL156" s="60">
        <f t="shared" si="82"/>
        <v>-1</v>
      </c>
      <c r="AM156" s="65">
        <f t="shared" si="70"/>
        <v>-1</v>
      </c>
      <c r="AO156" s="68"/>
      <c r="AP156" s="59">
        <f t="shared" si="71"/>
        <v>0</v>
      </c>
      <c r="AQ156" s="59">
        <f t="shared" si="72"/>
        <v>0</v>
      </c>
      <c r="AR156" s="59">
        <f t="shared" si="73"/>
        <v>0</v>
      </c>
      <c r="AS156" s="59">
        <f t="shared" si="74"/>
        <v>0</v>
      </c>
      <c r="AT156" s="59">
        <f t="shared" si="75"/>
        <v>0</v>
      </c>
      <c r="AU156" s="59">
        <f t="shared" si="76"/>
        <v>0</v>
      </c>
      <c r="AV156" s="59">
        <f t="shared" si="77"/>
        <v>0</v>
      </c>
      <c r="AW156" s="59">
        <f t="shared" si="78"/>
        <v>0</v>
      </c>
      <c r="AX156" s="59">
        <f t="shared" si="79"/>
        <v>0</v>
      </c>
      <c r="AY156" s="59">
        <f t="shared" si="80"/>
        <v>-1</v>
      </c>
      <c r="AZ156" s="65">
        <f t="shared" si="81"/>
        <v>-0.1</v>
      </c>
    </row>
    <row r="157" spans="1:52" ht="51">
      <c r="A157" s="515" t="s">
        <v>192</v>
      </c>
      <c r="B157" s="495">
        <v>119386</v>
      </c>
      <c r="C157" s="496">
        <v>5088</v>
      </c>
      <c r="D157" s="496">
        <v>1400</v>
      </c>
      <c r="E157" s="496">
        <v>141191884</v>
      </c>
      <c r="F157" s="496">
        <v>183072720</v>
      </c>
      <c r="G157" s="496">
        <v>277788924</v>
      </c>
      <c r="H157" s="496">
        <v>300008579</v>
      </c>
      <c r="I157" s="496">
        <v>2479644</v>
      </c>
      <c r="J157" s="496">
        <v>70502166</v>
      </c>
      <c r="K157" s="496">
        <v>13530630</v>
      </c>
      <c r="L157" s="497">
        <v>48468</v>
      </c>
      <c r="M157" s="463"/>
      <c r="O157" s="58">
        <f t="shared" si="57"/>
        <v>3.1178106149399714E-5</v>
      </c>
      <c r="P157" s="59">
        <f t="shared" si="58"/>
        <v>8.4931632649768363E-7</v>
      </c>
      <c r="Q157" s="59">
        <f t="shared" si="59"/>
        <v>1.2984711054305531E-7</v>
      </c>
      <c r="R157" s="59">
        <f t="shared" si="60"/>
        <v>1.4989340475253611E-2</v>
      </c>
      <c r="S157" s="59">
        <f t="shared" si="61"/>
        <v>1.5467230347711821E-2</v>
      </c>
      <c r="T157" s="59">
        <f t="shared" si="62"/>
        <v>1.9801497534828683E-2</v>
      </c>
      <c r="U157" s="59">
        <f t="shared" si="63"/>
        <v>2.0115007225919957E-2</v>
      </c>
      <c r="V157" s="59">
        <f t="shared" si="64"/>
        <v>1.2346607482912486E-4</v>
      </c>
      <c r="W157" s="59">
        <f t="shared" si="65"/>
        <v>3.0907096706335154E-3</v>
      </c>
      <c r="X157" s="59">
        <f t="shared" si="66"/>
        <v>4.896446696939507E-4</v>
      </c>
      <c r="Y157" s="60">
        <f t="shared" si="67"/>
        <v>1.7747534394794788E-6</v>
      </c>
      <c r="Z157" s="60">
        <f t="shared" si="68"/>
        <v>6.7373480019905984E-3</v>
      </c>
      <c r="AB157" s="68"/>
      <c r="AC157" s="59">
        <f t="shared" si="69"/>
        <v>-0.95738193758062085</v>
      </c>
      <c r="AD157" s="59">
        <f t="shared" si="69"/>
        <v>-0.72484276729559749</v>
      </c>
      <c r="AE157" s="59">
        <f>+IF(D157=0,"",E157/D157-1)</f>
        <v>100850.34571428571</v>
      </c>
      <c r="AF157" s="59">
        <f t="shared" si="56"/>
        <v>0.29662353680329101</v>
      </c>
      <c r="AG157" s="59">
        <f t="shared" si="55"/>
        <v>0.51736929456229186</v>
      </c>
      <c r="AH157" s="59">
        <f t="shared" si="55"/>
        <v>7.9987548387638441E-2</v>
      </c>
      <c r="AI157" s="59">
        <f t="shared" si="55"/>
        <v>-0.99173475635841735</v>
      </c>
      <c r="AJ157" s="59">
        <f t="shared" si="55"/>
        <v>27.432374163387969</v>
      </c>
      <c r="AK157" s="59">
        <f t="shared" si="82"/>
        <v>-0.80808206658501813</v>
      </c>
      <c r="AL157" s="60">
        <f t="shared" si="82"/>
        <v>-0.99641790515297513</v>
      </c>
      <c r="AM157" s="65">
        <f t="shared" si="70"/>
        <v>10087.419360939592</v>
      </c>
      <c r="AO157" s="68"/>
      <c r="AP157" s="59">
        <f t="shared" si="71"/>
        <v>-0.96081097708562835</v>
      </c>
      <c r="AQ157" s="59">
        <f t="shared" si="72"/>
        <v>-0.74439643966149327</v>
      </c>
      <c r="AR157" s="59">
        <f t="shared" si="73"/>
        <v>94261.403695939531</v>
      </c>
      <c r="AS157" s="59">
        <f t="shared" si="74"/>
        <v>0.21760121777001706</v>
      </c>
      <c r="AT157" s="59">
        <f t="shared" si="75"/>
        <v>0.43829850827316563</v>
      </c>
      <c r="AU157" s="59">
        <f t="shared" si="76"/>
        <v>3.0005716606653632E-2</v>
      </c>
      <c r="AV157" s="59">
        <f t="shared" si="77"/>
        <v>-0.99208916190507024</v>
      </c>
      <c r="AW157" s="59">
        <f t="shared" si="78"/>
        <v>25.901669186666638</v>
      </c>
      <c r="AX157" s="59">
        <f t="shared" si="79"/>
        <v>-0.82175356792515841</v>
      </c>
      <c r="AY157" s="59">
        <f t="shared" si="80"/>
        <v>-0.99648814230683835</v>
      </c>
      <c r="AZ157" s="65">
        <f t="shared" si="81"/>
        <v>9428.3475732279949</v>
      </c>
    </row>
    <row r="158" spans="1:52" ht="38.25">
      <c r="A158" s="515" t="s">
        <v>45</v>
      </c>
      <c r="B158" s="495">
        <v>1728754608</v>
      </c>
      <c r="C158" s="496">
        <v>2390633945</v>
      </c>
      <c r="D158" s="496">
        <v>4304936656</v>
      </c>
      <c r="E158" s="496">
        <v>4357966189</v>
      </c>
      <c r="F158" s="496">
        <v>5339238299</v>
      </c>
      <c r="G158" s="496">
        <v>6964317907</v>
      </c>
      <c r="H158" s="496">
        <v>6847757549</v>
      </c>
      <c r="I158" s="496">
        <v>9229374360</v>
      </c>
      <c r="J158" s="496">
        <v>9617317767.2900009</v>
      </c>
      <c r="K158" s="496">
        <v>12043327647.200001</v>
      </c>
      <c r="L158" s="497">
        <v>10533042050.940001</v>
      </c>
      <c r="M158" s="463"/>
      <c r="O158" s="58">
        <f t="shared" si="57"/>
        <v>0.45147081462221611</v>
      </c>
      <c r="P158" s="59">
        <f t="shared" si="58"/>
        <v>0.39905747644812606</v>
      </c>
      <c r="Q158" s="59">
        <f t="shared" si="59"/>
        <v>0.39927398989463064</v>
      </c>
      <c r="R158" s="59">
        <f t="shared" si="60"/>
        <v>0.46265434765757801</v>
      </c>
      <c r="S158" s="59">
        <f t="shared" si="61"/>
        <v>0.45109521862109248</v>
      </c>
      <c r="T158" s="59">
        <f t="shared" si="62"/>
        <v>0.49643420580448966</v>
      </c>
      <c r="U158" s="59">
        <f t="shared" si="63"/>
        <v>0.45912917903418665</v>
      </c>
      <c r="V158" s="59">
        <f t="shared" si="64"/>
        <v>0.45954767110027334</v>
      </c>
      <c r="W158" s="59">
        <f t="shared" si="65"/>
        <v>0.42160884856954234</v>
      </c>
      <c r="X158" s="59">
        <f t="shared" si="66"/>
        <v>0.43582236657341672</v>
      </c>
      <c r="Y158" s="60">
        <f t="shared" si="67"/>
        <v>0.38568854931269603</v>
      </c>
      <c r="Z158" s="60">
        <f t="shared" si="68"/>
        <v>0.43834387887620435</v>
      </c>
      <c r="AB158" s="68"/>
      <c r="AC158" s="59">
        <f t="shared" si="69"/>
        <v>0.38286482878314909</v>
      </c>
      <c r="AD158" s="59">
        <f t="shared" si="69"/>
        <v>0.8007510790197534</v>
      </c>
      <c r="AE158" s="59">
        <f t="shared" si="69"/>
        <v>1.2318307384637128E-2</v>
      </c>
      <c r="AF158" s="59">
        <f t="shared" si="56"/>
        <v>0.22516744450125414</v>
      </c>
      <c r="AG158" s="59">
        <f t="shared" si="55"/>
        <v>0.30436543885002565</v>
      </c>
      <c r="AH158" s="59">
        <f t="shared" si="55"/>
        <v>-1.6736794551386325E-2</v>
      </c>
      <c r="AI158" s="59">
        <f t="shared" si="55"/>
        <v>0.34779514227220187</v>
      </c>
      <c r="AJ158" s="59">
        <f t="shared" si="55"/>
        <v>4.2033554188823707E-2</v>
      </c>
      <c r="AK158" s="59">
        <f t="shared" si="82"/>
        <v>0.25225431233656836</v>
      </c>
      <c r="AL158" s="60">
        <f t="shared" si="82"/>
        <v>-0.12540434342589124</v>
      </c>
      <c r="AM158" s="65">
        <f t="shared" si="70"/>
        <v>0.22254089693591358</v>
      </c>
      <c r="AO158" s="68"/>
      <c r="AP158" s="59">
        <f t="shared" si="71"/>
        <v>0.27159984255921765</v>
      </c>
      <c r="AQ158" s="59">
        <f t="shared" si="72"/>
        <v>0.67278316676242755</v>
      </c>
      <c r="AR158" s="59">
        <f t="shared" si="73"/>
        <v>-5.3819695873785323E-2</v>
      </c>
      <c r="AS158" s="59">
        <f t="shared" si="74"/>
        <v>0.15049999483637344</v>
      </c>
      <c r="AT158" s="59">
        <f t="shared" si="75"/>
        <v>0.23639437786451656</v>
      </c>
      <c r="AU158" s="59">
        <f t="shared" si="76"/>
        <v>-6.2242223020941956E-2</v>
      </c>
      <c r="AV158" s="59">
        <f t="shared" si="77"/>
        <v>0.29000300753464958</v>
      </c>
      <c r="AW158" s="59">
        <f t="shared" si="78"/>
        <v>-1.4066085543737561E-2</v>
      </c>
      <c r="AX158" s="59">
        <f t="shared" si="79"/>
        <v>0.16304849292892021</v>
      </c>
      <c r="AY158" s="59">
        <f t="shared" si="80"/>
        <v>-0.14255327786852079</v>
      </c>
      <c r="AZ158" s="65">
        <f t="shared" si="81"/>
        <v>0.15116476001791193</v>
      </c>
    </row>
    <row r="159" spans="1:52" ht="51">
      <c r="A159" s="515" t="s">
        <v>193</v>
      </c>
      <c r="B159" s="495">
        <v>397816792</v>
      </c>
      <c r="C159" s="496">
        <v>409952506</v>
      </c>
      <c r="D159" s="496">
        <v>549826570</v>
      </c>
      <c r="E159" s="496">
        <v>506854405</v>
      </c>
      <c r="F159" s="496">
        <v>371434466</v>
      </c>
      <c r="G159" s="496">
        <v>289718337</v>
      </c>
      <c r="H159" s="496">
        <v>466703689</v>
      </c>
      <c r="I159" s="496">
        <v>1150733745</v>
      </c>
      <c r="J159" s="496">
        <v>1966569148</v>
      </c>
      <c r="K159" s="496">
        <v>1652837801</v>
      </c>
      <c r="L159" s="497">
        <v>1592774557.1700001</v>
      </c>
      <c r="M159" s="463"/>
      <c r="O159" s="58">
        <f t="shared" si="57"/>
        <v>0.10389136221156306</v>
      </c>
      <c r="P159" s="59">
        <f t="shared" si="58"/>
        <v>6.8431477286643005E-2</v>
      </c>
      <c r="Q159" s="59">
        <f t="shared" si="59"/>
        <v>5.09952795816421E-2</v>
      </c>
      <c r="R159" s="59">
        <f t="shared" si="60"/>
        <v>5.3809135714394794E-2</v>
      </c>
      <c r="S159" s="59">
        <f t="shared" si="61"/>
        <v>3.1381313637014491E-2</v>
      </c>
      <c r="T159" s="59">
        <f t="shared" si="62"/>
        <v>2.0651856284594577E-2</v>
      </c>
      <c r="U159" s="59">
        <f t="shared" si="63"/>
        <v>3.1291598753242653E-2</v>
      </c>
      <c r="V159" s="59">
        <f t="shared" si="64"/>
        <v>5.7297167927561003E-2</v>
      </c>
      <c r="W159" s="59">
        <f t="shared" si="65"/>
        <v>8.6211454605424648E-2</v>
      </c>
      <c r="X159" s="59">
        <f t="shared" si="66"/>
        <v>5.981267828093155E-2</v>
      </c>
      <c r="Y159" s="60">
        <f t="shared" si="67"/>
        <v>5.8322648420666451E-2</v>
      </c>
      <c r="Z159" s="60">
        <f t="shared" si="68"/>
        <v>5.6554179336698034E-2</v>
      </c>
      <c r="AB159" s="68"/>
      <c r="AC159" s="59">
        <f t="shared" si="69"/>
        <v>3.0505786191147077E-2</v>
      </c>
      <c r="AD159" s="59">
        <f t="shared" si="69"/>
        <v>0.34119577744452179</v>
      </c>
      <c r="AE159" s="59">
        <f t="shared" si="69"/>
        <v>-7.8155853763123839E-2</v>
      </c>
      <c r="AF159" s="59">
        <f t="shared" si="56"/>
        <v>-0.26717719657580963</v>
      </c>
      <c r="AG159" s="59">
        <f t="shared" si="55"/>
        <v>-0.22000147126895864</v>
      </c>
      <c r="AH159" s="59">
        <f t="shared" si="55"/>
        <v>0.61088764291781783</v>
      </c>
      <c r="AI159" s="59">
        <f t="shared" si="55"/>
        <v>1.4656624151946653</v>
      </c>
      <c r="AJ159" s="59">
        <f t="shared" si="55"/>
        <v>0.70896973912935879</v>
      </c>
      <c r="AK159" s="59">
        <f t="shared" si="82"/>
        <v>-0.15953232426078923</v>
      </c>
      <c r="AL159" s="60">
        <f t="shared" si="82"/>
        <v>-3.6339466458027769E-2</v>
      </c>
      <c r="AM159" s="65">
        <f t="shared" si="70"/>
        <v>0.23960150485508019</v>
      </c>
      <c r="AO159" s="68"/>
      <c r="AP159" s="59">
        <f t="shared" si="71"/>
        <v>-5.2408472467910694E-2</v>
      </c>
      <c r="AQ159" s="59">
        <f t="shared" si="72"/>
        <v>0.24588553408687575</v>
      </c>
      <c r="AR159" s="59">
        <f t="shared" si="73"/>
        <v>-0.13838288976831847</v>
      </c>
      <c r="AS159" s="59">
        <f t="shared" si="74"/>
        <v>-0.31183885489323837</v>
      </c>
      <c r="AT159" s="59">
        <f t="shared" si="75"/>
        <v>-0.26064754022010084</v>
      </c>
      <c r="AU159" s="59">
        <f t="shared" si="76"/>
        <v>0.53633575080888574</v>
      </c>
      <c r="AV159" s="59">
        <f t="shared" si="77"/>
        <v>1.3599372274068391</v>
      </c>
      <c r="AW159" s="59">
        <f t="shared" si="78"/>
        <v>0.6169644612823908</v>
      </c>
      <c r="AX159" s="59">
        <f t="shared" si="79"/>
        <v>-0.21940403479222548</v>
      </c>
      <c r="AY159" s="59">
        <f t="shared" si="80"/>
        <v>-5.5234771037282138E-2</v>
      </c>
      <c r="AZ159" s="65">
        <f t="shared" si="81"/>
        <v>0.17212064104059155</v>
      </c>
    </row>
    <row r="160" spans="1:52" ht="38.25">
      <c r="A160" s="515" t="s">
        <v>194</v>
      </c>
      <c r="B160" s="495"/>
      <c r="C160" s="496"/>
      <c r="D160" s="496"/>
      <c r="E160" s="496"/>
      <c r="F160" s="496"/>
      <c r="G160" s="496"/>
      <c r="H160" s="496"/>
      <c r="I160" s="496"/>
      <c r="J160" s="496">
        <v>87383817</v>
      </c>
      <c r="K160" s="496">
        <v>42819640.700000003</v>
      </c>
      <c r="L160" s="497">
        <v>69383768.599999994</v>
      </c>
      <c r="M160" s="463"/>
      <c r="O160" s="58">
        <f t="shared" si="57"/>
        <v>0</v>
      </c>
      <c r="P160" s="59">
        <f t="shared" si="58"/>
        <v>0</v>
      </c>
      <c r="Q160" s="59">
        <f t="shared" si="59"/>
        <v>0</v>
      </c>
      <c r="R160" s="59">
        <f t="shared" si="60"/>
        <v>0</v>
      </c>
      <c r="S160" s="59">
        <f t="shared" si="61"/>
        <v>0</v>
      </c>
      <c r="T160" s="59">
        <f t="shared" si="62"/>
        <v>0</v>
      </c>
      <c r="U160" s="59">
        <f t="shared" si="63"/>
        <v>0</v>
      </c>
      <c r="V160" s="59">
        <f t="shared" si="64"/>
        <v>0</v>
      </c>
      <c r="W160" s="59">
        <f t="shared" si="65"/>
        <v>3.8307760396860627E-3</v>
      </c>
      <c r="X160" s="59">
        <f t="shared" si="66"/>
        <v>1.5495515601982428E-3</v>
      </c>
      <c r="Y160" s="60">
        <f t="shared" si="67"/>
        <v>2.5406264332528319E-3</v>
      </c>
      <c r="Z160" s="60">
        <f t="shared" si="68"/>
        <v>7.2008673028519418E-4</v>
      </c>
      <c r="AB160" s="68"/>
      <c r="AC160" s="59" t="str">
        <f t="shared" si="69"/>
        <v/>
      </c>
      <c r="AD160" s="59" t="str">
        <f t="shared" si="69"/>
        <v/>
      </c>
      <c r="AE160" s="59" t="str">
        <f t="shared" si="69"/>
        <v/>
      </c>
      <c r="AF160" s="59" t="str">
        <f t="shared" si="56"/>
        <v/>
      </c>
      <c r="AG160" s="59" t="str">
        <f t="shared" si="55"/>
        <v/>
      </c>
      <c r="AH160" s="59" t="str">
        <f t="shared" si="55"/>
        <v/>
      </c>
      <c r="AI160" s="59" t="str">
        <f t="shared" si="55"/>
        <v/>
      </c>
      <c r="AJ160" s="59" t="str">
        <f t="shared" si="55"/>
        <v/>
      </c>
      <c r="AK160" s="59">
        <f t="shared" si="82"/>
        <v>-0.50998202905235868</v>
      </c>
      <c r="AL160" s="60">
        <f t="shared" si="82"/>
        <v>0.62037250817006484</v>
      </c>
      <c r="AM160" s="65">
        <f t="shared" si="70"/>
        <v>5.5195239558853082E-2</v>
      </c>
      <c r="AO160" s="68"/>
      <c r="AP160" s="59">
        <f t="shared" si="71"/>
        <v>0</v>
      </c>
      <c r="AQ160" s="59">
        <f t="shared" si="72"/>
        <v>0</v>
      </c>
      <c r="AR160" s="59">
        <f t="shared" si="73"/>
        <v>0</v>
      </c>
      <c r="AS160" s="59">
        <f t="shared" si="74"/>
        <v>0</v>
      </c>
      <c r="AT160" s="59">
        <f t="shared" si="75"/>
        <v>0</v>
      </c>
      <c r="AU160" s="59">
        <f t="shared" si="76"/>
        <v>0</v>
      </c>
      <c r="AV160" s="59">
        <f t="shared" si="77"/>
        <v>0</v>
      </c>
      <c r="AW160" s="59">
        <f t="shared" si="78"/>
        <v>0</v>
      </c>
      <c r="AX160" s="59">
        <f t="shared" si="79"/>
        <v>-0.54488903970684377</v>
      </c>
      <c r="AY160" s="59">
        <f t="shared" si="80"/>
        <v>0.58860049820594584</v>
      </c>
      <c r="AZ160" s="65">
        <f t="shared" si="81"/>
        <v>4.3711458499102072E-3</v>
      </c>
    </row>
    <row r="161" spans="1:52" ht="51">
      <c r="A161" s="515" t="s">
        <v>195</v>
      </c>
      <c r="B161" s="495">
        <v>4370312</v>
      </c>
      <c r="C161" s="496">
        <v>6499948</v>
      </c>
      <c r="D161" s="496">
        <v>13192606</v>
      </c>
      <c r="E161" s="496">
        <v>9116440</v>
      </c>
      <c r="F161" s="496">
        <v>9918486</v>
      </c>
      <c r="G161" s="496">
        <v>18003955</v>
      </c>
      <c r="H161" s="496">
        <v>4067240</v>
      </c>
      <c r="I161" s="496">
        <v>32235670</v>
      </c>
      <c r="J161" s="496">
        <v>40114272</v>
      </c>
      <c r="K161" s="496">
        <v>23316633</v>
      </c>
      <c r="L161" s="497">
        <v>103332434</v>
      </c>
      <c r="M161" s="463"/>
      <c r="O161" s="58">
        <f t="shared" si="57"/>
        <v>1.1413235340994368E-3</v>
      </c>
      <c r="P161" s="59">
        <f t="shared" si="58"/>
        <v>1.0850062810113927E-3</v>
      </c>
      <c r="Q161" s="59">
        <f t="shared" si="59"/>
        <v>1.2235869783092676E-3</v>
      </c>
      <c r="R161" s="59">
        <f t="shared" si="60"/>
        <v>9.6782774767862039E-4</v>
      </c>
      <c r="S161" s="59">
        <f t="shared" si="61"/>
        <v>8.379812550037757E-4</v>
      </c>
      <c r="T161" s="59">
        <f t="shared" si="62"/>
        <v>1.2833674770620679E-3</v>
      </c>
      <c r="U161" s="59">
        <f t="shared" si="63"/>
        <v>2.7270074163296073E-4</v>
      </c>
      <c r="V161" s="59">
        <f t="shared" si="64"/>
        <v>1.6050738107514526E-3</v>
      </c>
      <c r="W161" s="59">
        <f t="shared" si="65"/>
        <v>1.758549778468129E-3</v>
      </c>
      <c r="X161" s="59">
        <f t="shared" si="66"/>
        <v>8.4377926701565786E-4</v>
      </c>
      <c r="Y161" s="60">
        <f t="shared" si="67"/>
        <v>3.7837251929373245E-3</v>
      </c>
      <c r="Z161" s="60">
        <f t="shared" si="68"/>
        <v>1.345720187633644E-3</v>
      </c>
      <c r="AB161" s="68"/>
      <c r="AC161" s="59">
        <f t="shared" si="69"/>
        <v>0.4872961015140338</v>
      </c>
      <c r="AD161" s="59">
        <f t="shared" si="69"/>
        <v>1.0296479294911283</v>
      </c>
      <c r="AE161" s="59">
        <f t="shared" si="69"/>
        <v>-0.30897352653448451</v>
      </c>
      <c r="AF161" s="59">
        <f t="shared" si="56"/>
        <v>8.7977982633571816E-2</v>
      </c>
      <c r="AG161" s="59">
        <f t="shared" si="55"/>
        <v>0.81519185488591717</v>
      </c>
      <c r="AH161" s="59">
        <f t="shared" si="55"/>
        <v>-0.7740918592609235</v>
      </c>
      <c r="AI161" s="59">
        <f t="shared" si="55"/>
        <v>6.9256867064643348</v>
      </c>
      <c r="AJ161" s="59">
        <f t="shared" si="55"/>
        <v>0.24440633621078756</v>
      </c>
      <c r="AK161" s="59">
        <f t="shared" si="82"/>
        <v>-0.41874470512639494</v>
      </c>
      <c r="AL161" s="60">
        <f t="shared" si="82"/>
        <v>3.4317047834479357</v>
      </c>
      <c r="AM161" s="65">
        <f t="shared" si="70"/>
        <v>1.1520101603725905</v>
      </c>
      <c r="AO161" s="68"/>
      <c r="AP161" s="59">
        <f t="shared" si="71"/>
        <v>0.36762859909336454</v>
      </c>
      <c r="AQ161" s="59">
        <f t="shared" si="72"/>
        <v>0.88541377565362578</v>
      </c>
      <c r="AR161" s="59">
        <f t="shared" si="73"/>
        <v>-0.35412050335029865</v>
      </c>
      <c r="AS161" s="59">
        <f t="shared" si="74"/>
        <v>2.1671502144400279E-2</v>
      </c>
      <c r="AT161" s="59">
        <f t="shared" si="75"/>
        <v>0.72060140301253206</v>
      </c>
      <c r="AU161" s="59">
        <f t="shared" si="76"/>
        <v>-0.78454688969644359</v>
      </c>
      <c r="AV161" s="59">
        <f t="shared" si="77"/>
        <v>6.5858410283923572</v>
      </c>
      <c r="AW161" s="59">
        <f t="shared" si="78"/>
        <v>0.17741161530020588</v>
      </c>
      <c r="AX161" s="59">
        <f t="shared" si="79"/>
        <v>-0.46015111463396952</v>
      </c>
      <c r="AY161" s="59">
        <f t="shared" si="80"/>
        <v>3.3448086112234661</v>
      </c>
      <c r="AZ161" s="65">
        <f t="shared" si="81"/>
        <v>1.0504558027139239</v>
      </c>
    </row>
    <row r="162" spans="1:52" ht="25.5">
      <c r="A162" s="515" t="s">
        <v>196</v>
      </c>
      <c r="B162" s="495">
        <v>333110</v>
      </c>
      <c r="C162" s="496">
        <v>333110</v>
      </c>
      <c r="D162" s="496">
        <v>13790</v>
      </c>
      <c r="E162" s="496"/>
      <c r="F162" s="496"/>
      <c r="G162" s="496">
        <v>730194</v>
      </c>
      <c r="H162" s="496">
        <v>521567</v>
      </c>
      <c r="I162" s="496"/>
      <c r="J162" s="496"/>
      <c r="K162" s="496"/>
      <c r="L162" s="497"/>
      <c r="M162" s="463"/>
      <c r="O162" s="58">
        <f t="shared" si="57"/>
        <v>8.6992938363179419E-5</v>
      </c>
      <c r="P162" s="59">
        <f t="shared" si="58"/>
        <v>5.5604512877288407E-5</v>
      </c>
      <c r="Q162" s="59">
        <f t="shared" si="59"/>
        <v>1.2789940388490948E-6</v>
      </c>
      <c r="R162" s="59">
        <f t="shared" si="60"/>
        <v>0</v>
      </c>
      <c r="S162" s="59">
        <f t="shared" si="61"/>
        <v>0</v>
      </c>
      <c r="T162" s="59">
        <f t="shared" si="62"/>
        <v>5.2050076305226241E-5</v>
      </c>
      <c r="U162" s="59">
        <f t="shared" si="63"/>
        <v>3.4970079884953537E-5</v>
      </c>
      <c r="V162" s="59">
        <f t="shared" si="64"/>
        <v>0</v>
      </c>
      <c r="W162" s="59">
        <f t="shared" si="65"/>
        <v>0</v>
      </c>
      <c r="X162" s="59">
        <f t="shared" si="66"/>
        <v>0</v>
      </c>
      <c r="Y162" s="60">
        <f t="shared" si="67"/>
        <v>0</v>
      </c>
      <c r="Z162" s="60">
        <f t="shared" si="68"/>
        <v>2.0990600133590606E-5</v>
      </c>
      <c r="AB162" s="68"/>
      <c r="AC162" s="59">
        <f t="shared" si="69"/>
        <v>0</v>
      </c>
      <c r="AD162" s="59">
        <f t="shared" si="69"/>
        <v>-0.95860226351655609</v>
      </c>
      <c r="AE162" s="59">
        <f t="shared" si="69"/>
        <v>-1</v>
      </c>
      <c r="AF162" s="59" t="str">
        <f t="shared" si="56"/>
        <v/>
      </c>
      <c r="AG162" s="59" t="str">
        <f t="shared" si="55"/>
        <v/>
      </c>
      <c r="AH162" s="59">
        <f t="shared" si="55"/>
        <v>-0.28571448135700928</v>
      </c>
      <c r="AI162" s="59">
        <f t="shared" si="55"/>
        <v>-1</v>
      </c>
      <c r="AJ162" s="59" t="str">
        <f t="shared" si="55"/>
        <v/>
      </c>
      <c r="AK162" s="59" t="str">
        <f t="shared" si="82"/>
        <v/>
      </c>
      <c r="AL162" s="60" t="str">
        <f t="shared" si="82"/>
        <v/>
      </c>
      <c r="AM162" s="65">
        <f t="shared" si="70"/>
        <v>-0.64886334897471309</v>
      </c>
      <c r="AO162" s="68"/>
      <c r="AP162" s="59">
        <f t="shared" si="71"/>
        <v>-8.045977011494243E-2</v>
      </c>
      <c r="AQ162" s="59">
        <f t="shared" si="72"/>
        <v>-0.96154413703349384</v>
      </c>
      <c r="AR162" s="59">
        <f t="shared" si="73"/>
        <v>-1</v>
      </c>
      <c r="AS162" s="59">
        <f t="shared" si="74"/>
        <v>0</v>
      </c>
      <c r="AT162" s="59">
        <f t="shared" si="75"/>
        <v>0</v>
      </c>
      <c r="AU162" s="59">
        <f t="shared" si="76"/>
        <v>-0.31877162047838847</v>
      </c>
      <c r="AV162" s="59">
        <f t="shared" si="77"/>
        <v>-1</v>
      </c>
      <c r="AW162" s="59">
        <f t="shared" si="78"/>
        <v>0</v>
      </c>
      <c r="AX162" s="59">
        <f t="shared" si="79"/>
        <v>0</v>
      </c>
      <c r="AY162" s="59">
        <f t="shared" si="80"/>
        <v>0</v>
      </c>
      <c r="AZ162" s="65">
        <f t="shared" si="81"/>
        <v>-0.33607755276268247</v>
      </c>
    </row>
    <row r="163" spans="1:52" ht="38.25">
      <c r="A163" s="515" t="s">
        <v>197</v>
      </c>
      <c r="B163" s="495">
        <v>164205</v>
      </c>
      <c r="C163" s="496">
        <v>4220539</v>
      </c>
      <c r="D163" s="496">
        <v>25818672</v>
      </c>
      <c r="E163" s="496">
        <v>15425063</v>
      </c>
      <c r="F163" s="496">
        <v>2953218</v>
      </c>
      <c r="G163" s="496">
        <v>1118364</v>
      </c>
      <c r="H163" s="496">
        <v>1454771</v>
      </c>
      <c r="I163" s="496">
        <v>5241082</v>
      </c>
      <c r="J163" s="496">
        <v>1966155</v>
      </c>
      <c r="K163" s="496">
        <v>2933574</v>
      </c>
      <c r="L163" s="497">
        <v>1803291.66</v>
      </c>
      <c r="M163" s="463"/>
      <c r="O163" s="58">
        <f t="shared" si="57"/>
        <v>4.2882757779489887E-5</v>
      </c>
      <c r="P163" s="59">
        <f t="shared" si="58"/>
        <v>7.0451507062110994E-4</v>
      </c>
      <c r="Q163" s="59">
        <f t="shared" si="59"/>
        <v>2.394628540899205E-3</v>
      </c>
      <c r="R163" s="59">
        <f t="shared" si="60"/>
        <v>1.6375694877705357E-3</v>
      </c>
      <c r="S163" s="59">
        <f t="shared" si="61"/>
        <v>2.4950797187592348E-4</v>
      </c>
      <c r="T163" s="59">
        <f t="shared" si="62"/>
        <v>7.9719816291311685E-5</v>
      </c>
      <c r="U163" s="59">
        <f t="shared" si="63"/>
        <v>9.7539641281587486E-5</v>
      </c>
      <c r="V163" s="59">
        <f t="shared" si="64"/>
        <v>2.6096319568356561E-4</v>
      </c>
      <c r="W163" s="59">
        <f t="shared" si="65"/>
        <v>8.6193298975586644E-5</v>
      </c>
      <c r="X163" s="59">
        <f t="shared" si="66"/>
        <v>1.0615979243041616E-4</v>
      </c>
      <c r="Y163" s="60">
        <f t="shared" si="67"/>
        <v>6.603115614363412E-5</v>
      </c>
      <c r="Z163" s="60">
        <f t="shared" si="68"/>
        <v>5.2051915725021501E-4</v>
      </c>
      <c r="AB163" s="68"/>
      <c r="AC163" s="59">
        <f t="shared" si="69"/>
        <v>24.702865320788039</v>
      </c>
      <c r="AD163" s="59">
        <f t="shared" si="69"/>
        <v>5.1173873763516937</v>
      </c>
      <c r="AE163" s="59">
        <f t="shared" si="69"/>
        <v>-0.40256171967326593</v>
      </c>
      <c r="AF163" s="59">
        <f t="shared" si="56"/>
        <v>-0.80854418552455831</v>
      </c>
      <c r="AG163" s="59">
        <f t="shared" si="55"/>
        <v>-0.62130665599356361</v>
      </c>
      <c r="AH163" s="59">
        <f t="shared" si="55"/>
        <v>0.30080277977474235</v>
      </c>
      <c r="AI163" s="59">
        <f t="shared" si="55"/>
        <v>2.6026852336209618</v>
      </c>
      <c r="AJ163" s="59">
        <f t="shared" si="55"/>
        <v>-0.62485704287778743</v>
      </c>
      <c r="AK163" s="59">
        <f t="shared" si="82"/>
        <v>0.49203597885212513</v>
      </c>
      <c r="AL163" s="60">
        <f t="shared" si="82"/>
        <v>-0.38529191354982018</v>
      </c>
      <c r="AM163" s="65">
        <f t="shared" si="70"/>
        <v>3.0373215171768564</v>
      </c>
      <c r="AO163" s="68"/>
      <c r="AP163" s="59">
        <f t="shared" si="71"/>
        <v>22.634818685782108</v>
      </c>
      <c r="AQ163" s="59">
        <f t="shared" si="72"/>
        <v>4.6826636101734262</v>
      </c>
      <c r="AR163" s="59">
        <f t="shared" si="73"/>
        <v>-0.44159427953384989</v>
      </c>
      <c r="AS163" s="59">
        <f t="shared" si="74"/>
        <v>-0.82021240071796253</v>
      </c>
      <c r="AT163" s="59">
        <f t="shared" si="75"/>
        <v>-0.64104053394954608</v>
      </c>
      <c r="AU163" s="59">
        <f t="shared" si="76"/>
        <v>0.24060161744096864</v>
      </c>
      <c r="AV163" s="59">
        <f t="shared" si="77"/>
        <v>2.4482056217658519</v>
      </c>
      <c r="AW163" s="59">
        <f t="shared" si="78"/>
        <v>-0.64505349879627905</v>
      </c>
      <c r="AX163" s="59">
        <f t="shared" si="79"/>
        <v>0.38574902837570835</v>
      </c>
      <c r="AY163" s="59">
        <f t="shared" si="80"/>
        <v>-0.3973450132841374</v>
      </c>
      <c r="AZ163" s="65">
        <f t="shared" si="81"/>
        <v>2.7446792837256289</v>
      </c>
    </row>
    <row r="164" spans="1:52" ht="38.25">
      <c r="A164" s="515" t="s">
        <v>198</v>
      </c>
      <c r="B164" s="495">
        <v>870506</v>
      </c>
      <c r="C164" s="496">
        <v>477087</v>
      </c>
      <c r="D164" s="496">
        <v>5449530</v>
      </c>
      <c r="E164" s="496">
        <v>5375539</v>
      </c>
      <c r="F164" s="496">
        <v>6017193</v>
      </c>
      <c r="G164" s="496">
        <v>5985892</v>
      </c>
      <c r="H164" s="496">
        <v>8851768</v>
      </c>
      <c r="I164" s="496">
        <v>27298447</v>
      </c>
      <c r="J164" s="496">
        <v>14058939</v>
      </c>
      <c r="K164" s="496">
        <v>5581847</v>
      </c>
      <c r="L164" s="497">
        <v>16737578</v>
      </c>
      <c r="M164" s="463"/>
      <c r="O164" s="58">
        <f t="shared" si="57"/>
        <v>2.2733593948779041E-4</v>
      </c>
      <c r="P164" s="59">
        <f t="shared" si="58"/>
        <v>7.9637928117099136E-5</v>
      </c>
      <c r="Q164" s="59">
        <f t="shared" si="59"/>
        <v>5.0543266022692586E-4</v>
      </c>
      <c r="R164" s="59">
        <f t="shared" si="60"/>
        <v>5.7068283265491614E-4</v>
      </c>
      <c r="S164" s="59">
        <f t="shared" si="61"/>
        <v>5.0837344951033196E-4</v>
      </c>
      <c r="T164" s="59">
        <f t="shared" si="62"/>
        <v>4.2668953093950829E-4</v>
      </c>
      <c r="U164" s="59">
        <f t="shared" si="63"/>
        <v>5.934942856489682E-4</v>
      </c>
      <c r="V164" s="59">
        <f t="shared" si="64"/>
        <v>1.35924031837671E-3</v>
      </c>
      <c r="W164" s="59">
        <f t="shared" si="65"/>
        <v>6.163228903654774E-4</v>
      </c>
      <c r="X164" s="59">
        <f t="shared" si="66"/>
        <v>2.0199514956784493E-4</v>
      </c>
      <c r="Y164" s="60">
        <f t="shared" si="67"/>
        <v>6.1288012965371084E-4</v>
      </c>
      <c r="Z164" s="60">
        <f t="shared" si="68"/>
        <v>5.183713740499348E-4</v>
      </c>
      <c r="AB164" s="68"/>
      <c r="AC164" s="59">
        <f t="shared" si="69"/>
        <v>-0.45194289298408052</v>
      </c>
      <c r="AD164" s="59">
        <f t="shared" si="69"/>
        <v>10.422507844481196</v>
      </c>
      <c r="AE164" s="59">
        <f t="shared" si="69"/>
        <v>-1.3577501179000806E-2</v>
      </c>
      <c r="AF164" s="59">
        <f t="shared" si="56"/>
        <v>0.11936551850893462</v>
      </c>
      <c r="AG164" s="59">
        <f t="shared" si="55"/>
        <v>-5.2019272109105064E-3</v>
      </c>
      <c r="AH164" s="59">
        <f t="shared" si="55"/>
        <v>0.47877175197948785</v>
      </c>
      <c r="AI164" s="59">
        <f t="shared" si="55"/>
        <v>2.0839541885869579</v>
      </c>
      <c r="AJ164" s="59">
        <f t="shared" si="55"/>
        <v>-0.48499125243278496</v>
      </c>
      <c r="AK164" s="59">
        <f t="shared" si="82"/>
        <v>-0.60296811871792033</v>
      </c>
      <c r="AL164" s="60">
        <f t="shared" si="82"/>
        <v>1.9985734112740818</v>
      </c>
      <c r="AM164" s="65">
        <f t="shared" si="70"/>
        <v>1.3544491022305962</v>
      </c>
      <c r="AO164" s="68"/>
      <c r="AP164" s="59">
        <f t="shared" si="71"/>
        <v>-0.49603944182444182</v>
      </c>
      <c r="AQ164" s="59">
        <f t="shared" si="72"/>
        <v>9.6107829488910319</v>
      </c>
      <c r="AR164" s="59">
        <f t="shared" si="73"/>
        <v>-7.8023648171792526E-2</v>
      </c>
      <c r="AS164" s="59">
        <f t="shared" si="74"/>
        <v>5.1146134387205056E-2</v>
      </c>
      <c r="AT164" s="59">
        <f t="shared" si="75"/>
        <v>-5.7041295581041651E-2</v>
      </c>
      <c r="AU164" s="59">
        <f t="shared" si="76"/>
        <v>0.41033418428691859</v>
      </c>
      <c r="AV164" s="59">
        <f t="shared" si="77"/>
        <v>1.9517172555388189</v>
      </c>
      <c r="AW164" s="59">
        <f t="shared" si="78"/>
        <v>-0.51271761986260289</v>
      </c>
      <c r="AX164" s="59">
        <f t="shared" si="79"/>
        <v>-0.63125115512020091</v>
      </c>
      <c r="AY164" s="59">
        <f t="shared" si="80"/>
        <v>1.9397778541902762</v>
      </c>
      <c r="AZ164" s="65">
        <f t="shared" si="81"/>
        <v>1.2188685216734172</v>
      </c>
    </row>
    <row r="165" spans="1:52" ht="38.25">
      <c r="A165" s="515" t="s">
        <v>199</v>
      </c>
      <c r="B165" s="495"/>
      <c r="C165" s="496"/>
      <c r="D165" s="496">
        <v>70108</v>
      </c>
      <c r="E165" s="496">
        <v>680969</v>
      </c>
      <c r="F165" s="496">
        <v>448257</v>
      </c>
      <c r="G165" s="496">
        <v>306984</v>
      </c>
      <c r="H165" s="496">
        <v>577319</v>
      </c>
      <c r="I165" s="496">
        <v>225167</v>
      </c>
      <c r="J165" s="496">
        <v>77673</v>
      </c>
      <c r="K165" s="496">
        <v>304143</v>
      </c>
      <c r="L165" s="497">
        <v>12326</v>
      </c>
      <c r="M165" s="463"/>
      <c r="O165" s="58">
        <f t="shared" si="57"/>
        <v>0</v>
      </c>
      <c r="P165" s="59">
        <f t="shared" si="58"/>
        <v>0</v>
      </c>
      <c r="Q165" s="59">
        <f t="shared" si="59"/>
        <v>6.502372304251801E-6</v>
      </c>
      <c r="R165" s="59">
        <f t="shared" si="60"/>
        <v>7.2293646808289472E-5</v>
      </c>
      <c r="S165" s="59">
        <f t="shared" si="61"/>
        <v>3.7871804570196251E-5</v>
      </c>
      <c r="T165" s="59">
        <f t="shared" si="62"/>
        <v>2.1882596439416887E-5</v>
      </c>
      <c r="U165" s="59">
        <f t="shared" si="63"/>
        <v>3.8708145931589786E-5</v>
      </c>
      <c r="V165" s="59">
        <f t="shared" si="64"/>
        <v>1.1211482644706077E-5</v>
      </c>
      <c r="W165" s="59">
        <f t="shared" si="65"/>
        <v>3.405068324384772E-6</v>
      </c>
      <c r="X165" s="59">
        <f t="shared" si="66"/>
        <v>1.1006287125930371E-5</v>
      </c>
      <c r="Y165" s="60">
        <f t="shared" si="67"/>
        <v>4.5134131581711762E-7</v>
      </c>
      <c r="Z165" s="60">
        <f t="shared" si="68"/>
        <v>1.8484795042234776E-5</v>
      </c>
      <c r="AB165" s="68"/>
      <c r="AC165" s="59" t="str">
        <f t="shared" si="69"/>
        <v/>
      </c>
      <c r="AD165" s="59" t="str">
        <f t="shared" si="69"/>
        <v/>
      </c>
      <c r="AE165" s="59">
        <f t="shared" si="69"/>
        <v>8.7131425800193991</v>
      </c>
      <c r="AF165" s="59">
        <f t="shared" si="56"/>
        <v>-0.34173655482114462</v>
      </c>
      <c r="AG165" s="59">
        <f t="shared" si="55"/>
        <v>-0.31516072253194038</v>
      </c>
      <c r="AH165" s="59">
        <f t="shared" si="55"/>
        <v>0.88061592786594733</v>
      </c>
      <c r="AI165" s="59">
        <f t="shared" si="55"/>
        <v>-0.60997819229923145</v>
      </c>
      <c r="AJ165" s="59">
        <f t="shared" si="55"/>
        <v>-0.65504270163922773</v>
      </c>
      <c r="AK165" s="59">
        <f t="shared" si="82"/>
        <v>2.915684987061141</v>
      </c>
      <c r="AL165" s="60">
        <f t="shared" si="82"/>
        <v>-0.9594730110507228</v>
      </c>
      <c r="AM165" s="65">
        <f t="shared" si="70"/>
        <v>1.2035065390755277</v>
      </c>
      <c r="AO165" s="68"/>
      <c r="AP165" s="59">
        <f t="shared" si="71"/>
        <v>0</v>
      </c>
      <c r="AQ165" s="59">
        <f t="shared" si="72"/>
        <v>0</v>
      </c>
      <c r="AR165" s="59">
        <f t="shared" si="73"/>
        <v>8.0785518085983714</v>
      </c>
      <c r="AS165" s="59">
        <f t="shared" si="74"/>
        <v>-0.3818542161903884</v>
      </c>
      <c r="AT165" s="59">
        <f t="shared" si="75"/>
        <v>-0.35084800073450684</v>
      </c>
      <c r="AU165" s="59">
        <f t="shared" si="76"/>
        <v>0.79358100872121451</v>
      </c>
      <c r="AV165" s="59">
        <f t="shared" si="77"/>
        <v>-0.62670194515623223</v>
      </c>
      <c r="AW165" s="59">
        <f t="shared" si="78"/>
        <v>-0.67361406153773085</v>
      </c>
      <c r="AX165" s="59">
        <f t="shared" si="79"/>
        <v>2.6367465283376439</v>
      </c>
      <c r="AY165" s="59">
        <f t="shared" si="80"/>
        <v>-0.9602676578928655</v>
      </c>
      <c r="AZ165" s="65">
        <f t="shared" si="81"/>
        <v>0.85155934641455056</v>
      </c>
    </row>
    <row r="166" spans="1:52" ht="38.25">
      <c r="A166" s="515" t="s">
        <v>200</v>
      </c>
      <c r="B166" s="495">
        <v>21293142</v>
      </c>
      <c r="C166" s="496">
        <v>21653721</v>
      </c>
      <c r="D166" s="496">
        <v>18740118</v>
      </c>
      <c r="E166" s="496">
        <v>25489335</v>
      </c>
      <c r="F166" s="496">
        <v>23425177</v>
      </c>
      <c r="G166" s="496">
        <v>182421223</v>
      </c>
      <c r="H166" s="496">
        <v>52588110</v>
      </c>
      <c r="I166" s="496">
        <v>66342419</v>
      </c>
      <c r="J166" s="496">
        <v>84778961</v>
      </c>
      <c r="K166" s="496">
        <v>102521660.28</v>
      </c>
      <c r="L166" s="497">
        <v>97009280.689999998</v>
      </c>
      <c r="M166" s="463"/>
      <c r="O166" s="58">
        <f t="shared" si="57"/>
        <v>5.5607846944385553E-3</v>
      </c>
      <c r="P166" s="59">
        <f t="shared" si="58"/>
        <v>3.6145555767935827E-3</v>
      </c>
      <c r="Q166" s="59">
        <f t="shared" si="59"/>
        <v>1.7381072668113575E-3</v>
      </c>
      <c r="R166" s="59">
        <f t="shared" si="60"/>
        <v>2.7060218333994218E-3</v>
      </c>
      <c r="S166" s="59">
        <f t="shared" si="61"/>
        <v>1.9791185087265923E-3</v>
      </c>
      <c r="T166" s="59">
        <f t="shared" si="62"/>
        <v>1.3003446449632142E-2</v>
      </c>
      <c r="U166" s="59">
        <f t="shared" si="63"/>
        <v>3.5259332122214862E-3</v>
      </c>
      <c r="V166" s="59">
        <f t="shared" si="64"/>
        <v>3.3033121160130864E-3</v>
      </c>
      <c r="W166" s="59">
        <f t="shared" si="65"/>
        <v>3.7165830426963285E-3</v>
      </c>
      <c r="X166" s="59">
        <f t="shared" si="66"/>
        <v>3.7100404404137892E-3</v>
      </c>
      <c r="Y166" s="60">
        <f t="shared" si="67"/>
        <v>3.5521901990180674E-3</v>
      </c>
      <c r="Z166" s="60">
        <f t="shared" si="68"/>
        <v>4.2190993945604004E-3</v>
      </c>
      <c r="AB166" s="68"/>
      <c r="AC166" s="59">
        <f t="shared" si="69"/>
        <v>1.6934043834395229E-2</v>
      </c>
      <c r="AD166" s="59">
        <f t="shared" si="69"/>
        <v>-0.13455437982229479</v>
      </c>
      <c r="AE166" s="59">
        <f t="shared" si="69"/>
        <v>0.36014805242955239</v>
      </c>
      <c r="AF166" s="59">
        <f t="shared" si="56"/>
        <v>-8.0981241762486111E-2</v>
      </c>
      <c r="AG166" s="59">
        <f t="shared" si="55"/>
        <v>6.7873999842135664</v>
      </c>
      <c r="AH166" s="59">
        <f t="shared" si="55"/>
        <v>-0.71172153582152009</v>
      </c>
      <c r="AI166" s="59">
        <f t="shared" si="55"/>
        <v>0.26154788601453838</v>
      </c>
      <c r="AJ166" s="59">
        <f t="shared" si="55"/>
        <v>0.277899755207901</v>
      </c>
      <c r="AK166" s="59">
        <f t="shared" si="82"/>
        <v>0.20928186746709487</v>
      </c>
      <c r="AL166" s="60">
        <f t="shared" si="82"/>
        <v>-5.3767950840290513E-2</v>
      </c>
      <c r="AM166" s="65">
        <f t="shared" si="70"/>
        <v>0.6932186480920457</v>
      </c>
      <c r="AO166" s="68"/>
      <c r="AP166" s="59">
        <f t="shared" si="71"/>
        <v>-6.488823555457901E-2</v>
      </c>
      <c r="AQ166" s="59">
        <f t="shared" si="72"/>
        <v>-0.19605608901281446</v>
      </c>
      <c r="AR166" s="59">
        <f t="shared" si="73"/>
        <v>0.27128521584218368</v>
      </c>
      <c r="AS166" s="59">
        <f t="shared" si="74"/>
        <v>-0.13699055475864974</v>
      </c>
      <c r="AT166" s="59">
        <f t="shared" si="75"/>
        <v>6.3815951204230945</v>
      </c>
      <c r="AU166" s="59">
        <f t="shared" si="76"/>
        <v>-0.72506306529022635</v>
      </c>
      <c r="AV166" s="59">
        <f t="shared" si="77"/>
        <v>0.20745394909507886</v>
      </c>
      <c r="AW166" s="59">
        <f t="shared" si="78"/>
        <v>0.20910185940760817</v>
      </c>
      <c r="AX166" s="59">
        <f t="shared" si="79"/>
        <v>0.12313724107652546</v>
      </c>
      <c r="AY166" s="59">
        <f t="shared" si="80"/>
        <v>-7.2321520431657405E-2</v>
      </c>
      <c r="AZ166" s="65">
        <f t="shared" si="81"/>
        <v>0.59972539207965647</v>
      </c>
    </row>
    <row r="167" spans="1:52" ht="38.25">
      <c r="A167" s="515" t="s">
        <v>201</v>
      </c>
      <c r="B167" s="495">
        <v>7220</v>
      </c>
      <c r="C167" s="496"/>
      <c r="D167" s="496"/>
      <c r="E167" s="496">
        <v>68851</v>
      </c>
      <c r="F167" s="496"/>
      <c r="G167" s="496">
        <v>341553</v>
      </c>
      <c r="H167" s="496"/>
      <c r="I167" s="496">
        <v>246794</v>
      </c>
      <c r="J167" s="496"/>
      <c r="K167" s="496">
        <v>37014</v>
      </c>
      <c r="L167" s="497">
        <v>1298607</v>
      </c>
      <c r="M167" s="463"/>
      <c r="O167" s="58">
        <f t="shared" si="57"/>
        <v>1.8855303502811548E-6</v>
      </c>
      <c r="P167" s="59">
        <f t="shared" si="58"/>
        <v>0</v>
      </c>
      <c r="Q167" s="59">
        <f t="shared" si="59"/>
        <v>0</v>
      </c>
      <c r="R167" s="59">
        <f t="shared" si="60"/>
        <v>7.309422126994824E-6</v>
      </c>
      <c r="S167" s="59">
        <f t="shared" si="61"/>
        <v>0</v>
      </c>
      <c r="T167" s="59">
        <f t="shared" si="62"/>
        <v>2.4346762247127393E-5</v>
      </c>
      <c r="U167" s="59">
        <f t="shared" si="63"/>
        <v>0</v>
      </c>
      <c r="V167" s="59">
        <f t="shared" si="64"/>
        <v>1.2288331095664957E-5</v>
      </c>
      <c r="W167" s="59">
        <f t="shared" si="65"/>
        <v>0</v>
      </c>
      <c r="X167" s="59">
        <f t="shared" si="66"/>
        <v>1.3394577934694758E-6</v>
      </c>
      <c r="Y167" s="60">
        <f t="shared" si="67"/>
        <v>4.7551110831520332E-5</v>
      </c>
      <c r="Z167" s="60">
        <f t="shared" si="68"/>
        <v>8.61096494955074E-6</v>
      </c>
      <c r="AB167" s="68"/>
      <c r="AC167" s="59">
        <f t="shared" si="69"/>
        <v>-1</v>
      </c>
      <c r="AD167" s="59" t="str">
        <f t="shared" si="69"/>
        <v/>
      </c>
      <c r="AE167" s="59" t="str">
        <f t="shared" si="69"/>
        <v/>
      </c>
      <c r="AF167" s="59">
        <f t="shared" si="56"/>
        <v>-1</v>
      </c>
      <c r="AG167" s="59" t="str">
        <f t="shared" si="55"/>
        <v/>
      </c>
      <c r="AH167" s="59">
        <f t="shared" si="55"/>
        <v>-1</v>
      </c>
      <c r="AI167" s="59" t="str">
        <f t="shared" si="55"/>
        <v/>
      </c>
      <c r="AJ167" s="59">
        <f t="shared" si="55"/>
        <v>-1</v>
      </c>
      <c r="AK167" s="59" t="str">
        <f t="shared" si="82"/>
        <v/>
      </c>
      <c r="AL167" s="60">
        <f t="shared" si="82"/>
        <v>34.084211379478035</v>
      </c>
      <c r="AM167" s="65">
        <f t="shared" si="70"/>
        <v>6.0168422758956073</v>
      </c>
      <c r="AO167" s="68"/>
      <c r="AP167" s="59">
        <f t="shared" si="71"/>
        <v>-1</v>
      </c>
      <c r="AQ167" s="59">
        <f t="shared" si="72"/>
        <v>0</v>
      </c>
      <c r="AR167" s="59">
        <f t="shared" si="73"/>
        <v>0</v>
      </c>
      <c r="AS167" s="59">
        <f t="shared" si="74"/>
        <v>-1</v>
      </c>
      <c r="AT167" s="59">
        <f t="shared" si="75"/>
        <v>0</v>
      </c>
      <c r="AU167" s="59">
        <f t="shared" si="76"/>
        <v>-1</v>
      </c>
      <c r="AV167" s="59">
        <f t="shared" si="77"/>
        <v>0</v>
      </c>
      <c r="AW167" s="59">
        <f t="shared" si="78"/>
        <v>-1</v>
      </c>
      <c r="AX167" s="59">
        <f t="shared" si="79"/>
        <v>0</v>
      </c>
      <c r="AY167" s="59">
        <f t="shared" si="80"/>
        <v>33.396285666154938</v>
      </c>
      <c r="AZ167" s="65">
        <f t="shared" si="81"/>
        <v>2.939628566615494</v>
      </c>
    </row>
    <row r="168" spans="1:52" ht="51">
      <c r="A168" s="515" t="s">
        <v>202</v>
      </c>
      <c r="B168" s="495">
        <v>4834670</v>
      </c>
      <c r="C168" s="496">
        <v>4842849</v>
      </c>
      <c r="D168" s="496">
        <v>21843039</v>
      </c>
      <c r="E168" s="496">
        <v>18417131</v>
      </c>
      <c r="F168" s="496">
        <v>104404312</v>
      </c>
      <c r="G168" s="496">
        <v>3916206</v>
      </c>
      <c r="H168" s="496">
        <v>10431724</v>
      </c>
      <c r="I168" s="496">
        <v>8125638</v>
      </c>
      <c r="J168" s="496">
        <v>6409106</v>
      </c>
      <c r="K168" s="496">
        <v>10413245</v>
      </c>
      <c r="L168" s="497">
        <v>10520982</v>
      </c>
      <c r="M168" s="463"/>
      <c r="O168" s="58">
        <f t="shared" si="57"/>
        <v>1.2625923848467854E-3</v>
      </c>
      <c r="P168" s="59">
        <f t="shared" si="58"/>
        <v>8.083944029997997E-4</v>
      </c>
      <c r="Q168" s="59">
        <f t="shared" si="59"/>
        <v>2.0258967854494773E-3</v>
      </c>
      <c r="R168" s="59">
        <f t="shared" si="60"/>
        <v>1.9552161166455431E-3</v>
      </c>
      <c r="S168" s="59">
        <f t="shared" si="61"/>
        <v>8.8207874062196344E-3</v>
      </c>
      <c r="T168" s="59">
        <f t="shared" si="62"/>
        <v>2.7915707486912363E-4</v>
      </c>
      <c r="U168" s="59">
        <f t="shared" si="63"/>
        <v>6.994273441720566E-4</v>
      </c>
      <c r="V168" s="59">
        <f t="shared" si="64"/>
        <v>4.0459059015825671E-4</v>
      </c>
      <c r="W168" s="59">
        <f t="shared" si="65"/>
        <v>2.8096563578366214E-4</v>
      </c>
      <c r="X168" s="59">
        <f t="shared" si="66"/>
        <v>3.7683314882360863E-4</v>
      </c>
      <c r="Y168" s="60">
        <f t="shared" si="67"/>
        <v>3.852469462573592E-4</v>
      </c>
      <c r="Z168" s="60">
        <f t="shared" si="68"/>
        <v>1.5726461669295735E-3</v>
      </c>
      <c r="AB168" s="68"/>
      <c r="AC168" s="59">
        <f t="shared" si="69"/>
        <v>1.6917390432025226E-3</v>
      </c>
      <c r="AD168" s="59">
        <f t="shared" si="69"/>
        <v>3.5103696192055542</v>
      </c>
      <c r="AE168" s="59">
        <f t="shared" si="69"/>
        <v>-0.15684209509491787</v>
      </c>
      <c r="AF168" s="59">
        <f t="shared" si="56"/>
        <v>4.6688694889556901</v>
      </c>
      <c r="AG168" s="59">
        <f t="shared" si="55"/>
        <v>-0.96248999753956521</v>
      </c>
      <c r="AH168" s="59">
        <f t="shared" si="55"/>
        <v>1.663732193863142</v>
      </c>
      <c r="AI168" s="59">
        <f t="shared" si="55"/>
        <v>-0.22106470608309803</v>
      </c>
      <c r="AJ168" s="59">
        <f t="shared" si="55"/>
        <v>-0.21124888901031524</v>
      </c>
      <c r="AK168" s="59">
        <f t="shared" si="82"/>
        <v>0.62475780553481242</v>
      </c>
      <c r="AL168" s="60">
        <f t="shared" si="82"/>
        <v>1.0346150503517393E-2</v>
      </c>
      <c r="AM168" s="65">
        <f t="shared" si="70"/>
        <v>0.89281213093780232</v>
      </c>
      <c r="AO168" s="68"/>
      <c r="AP168" s="59">
        <f t="shared" si="71"/>
        <v>-7.8904148006250452E-2</v>
      </c>
      <c r="AQ168" s="59">
        <f t="shared" si="72"/>
        <v>3.1898463717654941</v>
      </c>
      <c r="AR168" s="59">
        <f t="shared" si="73"/>
        <v>-0.21192830647249083</v>
      </c>
      <c r="AS168" s="59">
        <f t="shared" si="74"/>
        <v>4.3233819973290357</v>
      </c>
      <c r="AT168" s="59">
        <f t="shared" si="75"/>
        <v>-0.96444466038853849</v>
      </c>
      <c r="AU168" s="59">
        <f t="shared" si="76"/>
        <v>1.5404546480969628</v>
      </c>
      <c r="AV168" s="59">
        <f t="shared" si="77"/>
        <v>-0.2544646880580953</v>
      </c>
      <c r="AW168" s="59">
        <f t="shared" si="78"/>
        <v>-0.25371263980538861</v>
      </c>
      <c r="AX168" s="59">
        <f t="shared" si="79"/>
        <v>0.50901625850730237</v>
      </c>
      <c r="AY168" s="59">
        <f t="shared" si="80"/>
        <v>-9.464558329884909E-3</v>
      </c>
      <c r="AZ168" s="65">
        <f t="shared" si="81"/>
        <v>0.77897802746381462</v>
      </c>
    </row>
    <row r="169" spans="1:52" ht="38.25">
      <c r="A169" s="515" t="s">
        <v>203</v>
      </c>
      <c r="B169" s="495">
        <v>12437595</v>
      </c>
      <c r="C169" s="496">
        <v>16921979</v>
      </c>
      <c r="D169" s="496">
        <v>12520092</v>
      </c>
      <c r="E169" s="496">
        <v>11640377</v>
      </c>
      <c r="F169" s="496">
        <v>19626762</v>
      </c>
      <c r="G169" s="496">
        <v>17106819</v>
      </c>
      <c r="H169" s="496">
        <v>29733860</v>
      </c>
      <c r="I169" s="496">
        <v>31255680</v>
      </c>
      <c r="J169" s="496">
        <v>25494281</v>
      </c>
      <c r="K169" s="496">
        <v>24169377</v>
      </c>
      <c r="L169" s="497">
        <v>41815788</v>
      </c>
      <c r="M169" s="463"/>
      <c r="O169" s="58">
        <f t="shared" si="57"/>
        <v>3.2481250494466951E-3</v>
      </c>
      <c r="P169" s="59">
        <f t="shared" si="58"/>
        <v>2.8247077518378434E-3</v>
      </c>
      <c r="Q169" s="59">
        <f t="shared" si="59"/>
        <v>1.1612126928094446E-3</v>
      </c>
      <c r="R169" s="59">
        <f t="shared" si="60"/>
        <v>1.2357762299801255E-3</v>
      </c>
      <c r="S169" s="59">
        <f t="shared" si="61"/>
        <v>1.6582025374054484E-3</v>
      </c>
      <c r="T169" s="59">
        <f t="shared" si="62"/>
        <v>1.2194173524976842E-3</v>
      </c>
      <c r="U169" s="59">
        <f t="shared" si="63"/>
        <v>1.9935990188950309E-3</v>
      </c>
      <c r="V169" s="59">
        <f t="shared" si="64"/>
        <v>1.5562782906397778E-3</v>
      </c>
      <c r="W169" s="59">
        <f t="shared" si="65"/>
        <v>1.11763120628873E-3</v>
      </c>
      <c r="X169" s="59">
        <f t="shared" si="66"/>
        <v>8.7463825541556973E-4</v>
      </c>
      <c r="Y169" s="60">
        <f t="shared" si="67"/>
        <v>1.5311692988682166E-3</v>
      </c>
      <c r="Z169" s="60">
        <f t="shared" si="68"/>
        <v>1.6746143349167788E-3</v>
      </c>
      <c r="AB169" s="68"/>
      <c r="AC169" s="59">
        <f t="shared" si="69"/>
        <v>0.36055073348183475</v>
      </c>
      <c r="AD169" s="59">
        <f t="shared" si="69"/>
        <v>-0.2601283809653705</v>
      </c>
      <c r="AE169" s="59">
        <f t="shared" si="69"/>
        <v>-7.0264260038983783E-2</v>
      </c>
      <c r="AF169" s="59">
        <f t="shared" si="56"/>
        <v>0.6860933284205486</v>
      </c>
      <c r="AG169" s="59">
        <f t="shared" si="55"/>
        <v>-0.12839321126938819</v>
      </c>
      <c r="AH169" s="59">
        <f t="shared" si="55"/>
        <v>0.73812910512468743</v>
      </c>
      <c r="AI169" s="59">
        <f t="shared" si="55"/>
        <v>5.1181380419494715E-2</v>
      </c>
      <c r="AJ169" s="59">
        <f t="shared" si="55"/>
        <v>-0.18433126394946453</v>
      </c>
      <c r="AK169" s="59">
        <f t="shared" si="82"/>
        <v>-5.1968674856921804E-2</v>
      </c>
      <c r="AL169" s="60">
        <f t="shared" si="82"/>
        <v>0.73011443364882767</v>
      </c>
      <c r="AM169" s="65">
        <f t="shared" si="70"/>
        <v>0.18709831900152646</v>
      </c>
      <c r="AO169" s="68"/>
      <c r="AP169" s="59">
        <f t="shared" si="71"/>
        <v>0.25108113423617007</v>
      </c>
      <c r="AQ169" s="59">
        <f t="shared" si="72"/>
        <v>-0.31270634553216026</v>
      </c>
      <c r="AR169" s="59">
        <f t="shared" si="73"/>
        <v>-0.13100687918402076</v>
      </c>
      <c r="AS169" s="59">
        <f t="shared" si="74"/>
        <v>0.58333489381214076</v>
      </c>
      <c r="AT169" s="59">
        <f t="shared" si="75"/>
        <v>-0.17381302724091829</v>
      </c>
      <c r="AU169" s="59">
        <f t="shared" si="76"/>
        <v>0.65768847719737944</v>
      </c>
      <c r="AV169" s="59">
        <f t="shared" si="77"/>
        <v>6.1077530814459546E-3</v>
      </c>
      <c r="AW169" s="59">
        <f t="shared" si="78"/>
        <v>-0.22824417064004587</v>
      </c>
      <c r="AX169" s="59">
        <f t="shared" si="79"/>
        <v>-0.11950280937765556</v>
      </c>
      <c r="AY169" s="59">
        <f t="shared" si="80"/>
        <v>0.69619062122434072</v>
      </c>
      <c r="AZ169" s="65">
        <f t="shared" si="81"/>
        <v>0.12291296475766762</v>
      </c>
    </row>
    <row r="170" spans="1:52" ht="51">
      <c r="A170" s="515" t="s">
        <v>204</v>
      </c>
      <c r="B170" s="495">
        <v>44310760</v>
      </c>
      <c r="C170" s="496">
        <v>54949233</v>
      </c>
      <c r="D170" s="496">
        <v>97647955</v>
      </c>
      <c r="E170" s="496">
        <v>86213705</v>
      </c>
      <c r="F170" s="496">
        <v>166793405</v>
      </c>
      <c r="G170" s="496">
        <v>229931190</v>
      </c>
      <c r="H170" s="496">
        <v>108226359</v>
      </c>
      <c r="I170" s="496">
        <v>170970897</v>
      </c>
      <c r="J170" s="496">
        <v>172899387</v>
      </c>
      <c r="K170" s="496">
        <v>169277493.28</v>
      </c>
      <c r="L170" s="497">
        <v>273844252.35000002</v>
      </c>
      <c r="M170" s="463"/>
      <c r="O170" s="58">
        <f t="shared" si="57"/>
        <v>1.1571922828812213E-2</v>
      </c>
      <c r="P170" s="59">
        <f t="shared" si="58"/>
        <v>9.1724215242581161E-3</v>
      </c>
      <c r="Q170" s="59">
        <f t="shared" si="59"/>
        <v>9.0566462908487789E-3</v>
      </c>
      <c r="R170" s="59">
        <f t="shared" si="60"/>
        <v>9.1526973170644472E-3</v>
      </c>
      <c r="S170" s="59">
        <f t="shared" si="61"/>
        <v>1.4091842933311904E-2</v>
      </c>
      <c r="T170" s="59">
        <f t="shared" si="62"/>
        <v>1.6390077136283609E-2</v>
      </c>
      <c r="U170" s="59">
        <f t="shared" si="63"/>
        <v>7.2563724696686335E-3</v>
      </c>
      <c r="V170" s="59">
        <f t="shared" si="64"/>
        <v>8.5129581353632199E-3</v>
      </c>
      <c r="W170" s="59">
        <f t="shared" si="65"/>
        <v>7.5796509209022983E-3</v>
      </c>
      <c r="X170" s="59">
        <f t="shared" si="66"/>
        <v>6.1257917985862867E-3</v>
      </c>
      <c r="Y170" s="60">
        <f t="shared" si="67"/>
        <v>1.0027358849959745E-2</v>
      </c>
      <c r="Z170" s="60">
        <f t="shared" si="68"/>
        <v>9.9034309277326576E-3</v>
      </c>
      <c r="AB170" s="68"/>
      <c r="AC170" s="59">
        <f t="shared" si="69"/>
        <v>0.2400878026014448</v>
      </c>
      <c r="AD170" s="59">
        <f t="shared" si="69"/>
        <v>0.77705765246987157</v>
      </c>
      <c r="AE170" s="59">
        <f t="shared" si="69"/>
        <v>-0.11709666628451154</v>
      </c>
      <c r="AF170" s="59">
        <f t="shared" si="56"/>
        <v>0.93465070315676613</v>
      </c>
      <c r="AG170" s="59">
        <f t="shared" si="55"/>
        <v>0.37853885769644191</v>
      </c>
      <c r="AH170" s="59">
        <f t="shared" si="55"/>
        <v>-0.52930979481296125</v>
      </c>
      <c r="AI170" s="59">
        <f t="shared" si="55"/>
        <v>0.57975283082377382</v>
      </c>
      <c r="AJ170" s="59">
        <f t="shared" si="55"/>
        <v>1.1279639013650478E-2</v>
      </c>
      <c r="AK170" s="59">
        <f t="shared" si="82"/>
        <v>-2.0947984737505143E-2</v>
      </c>
      <c r="AL170" s="60">
        <f t="shared" si="82"/>
        <v>0.61772393390205349</v>
      </c>
      <c r="AM170" s="65">
        <f t="shared" si="70"/>
        <v>0.28717369738290238</v>
      </c>
      <c r="AO170" s="68"/>
      <c r="AP170" s="59">
        <f t="shared" si="71"/>
        <v>0.14031062308178832</v>
      </c>
      <c r="AQ170" s="59">
        <f t="shared" si="72"/>
        <v>0.65077348116105105</v>
      </c>
      <c r="AR170" s="59">
        <f t="shared" si="73"/>
        <v>-0.1747795740578667</v>
      </c>
      <c r="AS170" s="59">
        <f t="shared" si="74"/>
        <v>0.81674401648677453</v>
      </c>
      <c r="AT170" s="59">
        <f t="shared" si="75"/>
        <v>0.3067025869884501</v>
      </c>
      <c r="AU170" s="59">
        <f t="shared" si="76"/>
        <v>-0.55109334101378438</v>
      </c>
      <c r="AV170" s="59">
        <f t="shared" si="77"/>
        <v>0.51201457774097814</v>
      </c>
      <c r="AW170" s="59">
        <f t="shared" si="78"/>
        <v>-4.3164311653277943E-2</v>
      </c>
      <c r="AX170" s="59">
        <f t="shared" si="79"/>
        <v>-9.0691914867191525E-2</v>
      </c>
      <c r="AY170" s="59">
        <f t="shared" si="80"/>
        <v>0.58600385676671918</v>
      </c>
      <c r="AZ170" s="65">
        <f t="shared" si="81"/>
        <v>0.21528200006336409</v>
      </c>
    </row>
    <row r="171" spans="1:52" ht="38.25">
      <c r="A171" s="515" t="s">
        <v>46</v>
      </c>
      <c r="B171" s="495"/>
      <c r="C171" s="496"/>
      <c r="D171" s="496"/>
      <c r="E171" s="496"/>
      <c r="F171" s="496"/>
      <c r="G171" s="496"/>
      <c r="H171" s="496"/>
      <c r="I171" s="496"/>
      <c r="J171" s="496">
        <v>2123205</v>
      </c>
      <c r="K171" s="496">
        <v>1217221</v>
      </c>
      <c r="L171" s="497">
        <v>1524952</v>
      </c>
      <c r="M171" s="463"/>
      <c r="O171" s="58">
        <f t="shared" si="57"/>
        <v>0</v>
      </c>
      <c r="P171" s="59">
        <f t="shared" si="58"/>
        <v>0</v>
      </c>
      <c r="Q171" s="59">
        <f t="shared" si="59"/>
        <v>0</v>
      </c>
      <c r="R171" s="59">
        <f t="shared" si="60"/>
        <v>0</v>
      </c>
      <c r="S171" s="59">
        <f t="shared" si="61"/>
        <v>0</v>
      </c>
      <c r="T171" s="59">
        <f t="shared" si="62"/>
        <v>0</v>
      </c>
      <c r="U171" s="59">
        <f t="shared" si="63"/>
        <v>0</v>
      </c>
      <c r="V171" s="59">
        <f t="shared" si="64"/>
        <v>0</v>
      </c>
      <c r="W171" s="59">
        <f t="shared" si="65"/>
        <v>9.3078136439629864E-5</v>
      </c>
      <c r="X171" s="59">
        <f t="shared" si="66"/>
        <v>4.4048634430883143E-5</v>
      </c>
      <c r="Y171" s="60">
        <f t="shared" si="67"/>
        <v>5.5839188888361602E-5</v>
      </c>
      <c r="Z171" s="60">
        <f t="shared" si="68"/>
        <v>1.754235997807951E-5</v>
      </c>
      <c r="AB171" s="68"/>
      <c r="AC171" s="59" t="str">
        <f t="shared" si="69"/>
        <v/>
      </c>
      <c r="AD171" s="59" t="str">
        <f t="shared" si="69"/>
        <v/>
      </c>
      <c r="AE171" s="59" t="str">
        <f t="shared" si="69"/>
        <v/>
      </c>
      <c r="AF171" s="59" t="str">
        <f t="shared" si="56"/>
        <v/>
      </c>
      <c r="AG171" s="59" t="str">
        <f t="shared" si="55"/>
        <v/>
      </c>
      <c r="AH171" s="59" t="str">
        <f t="shared" si="55"/>
        <v/>
      </c>
      <c r="AI171" s="59" t="str">
        <f t="shared" si="55"/>
        <v/>
      </c>
      <c r="AJ171" s="59" t="str">
        <f t="shared" si="55"/>
        <v/>
      </c>
      <c r="AK171" s="59">
        <f t="shared" si="82"/>
        <v>-0.42670585270852324</v>
      </c>
      <c r="AL171" s="60">
        <f t="shared" si="82"/>
        <v>0.25281440264339827</v>
      </c>
      <c r="AM171" s="65">
        <f t="shared" si="70"/>
        <v>-8.6945725032562482E-2</v>
      </c>
      <c r="AO171" s="68"/>
      <c r="AP171" s="59">
        <f t="shared" si="71"/>
        <v>0</v>
      </c>
      <c r="AQ171" s="59">
        <f t="shared" si="72"/>
        <v>0</v>
      </c>
      <c r="AR171" s="59">
        <f t="shared" si="73"/>
        <v>0</v>
      </c>
      <c r="AS171" s="59">
        <f t="shared" si="74"/>
        <v>0</v>
      </c>
      <c r="AT171" s="59">
        <f t="shared" si="75"/>
        <v>0</v>
      </c>
      <c r="AU171" s="59">
        <f t="shared" si="76"/>
        <v>0</v>
      </c>
      <c r="AV171" s="59">
        <f t="shared" si="77"/>
        <v>0</v>
      </c>
      <c r="AW171" s="59">
        <f t="shared" si="78"/>
        <v>0</v>
      </c>
      <c r="AX171" s="59">
        <f t="shared" si="79"/>
        <v>-0.4675451404370049</v>
      </c>
      <c r="AY171" s="59">
        <f t="shared" si="80"/>
        <v>0.22824941435627277</v>
      </c>
      <c r="AZ171" s="65">
        <f t="shared" si="81"/>
        <v>-2.3929572608073213E-2</v>
      </c>
    </row>
    <row r="172" spans="1:52" ht="51">
      <c r="A172" s="515" t="s">
        <v>47</v>
      </c>
      <c r="B172" s="495">
        <v>23734287</v>
      </c>
      <c r="C172" s="496">
        <v>13472486</v>
      </c>
      <c r="D172" s="496">
        <v>6748618</v>
      </c>
      <c r="E172" s="496">
        <v>9140542</v>
      </c>
      <c r="F172" s="496">
        <v>10147229</v>
      </c>
      <c r="G172" s="496">
        <v>9004969</v>
      </c>
      <c r="H172" s="496">
        <v>8124182</v>
      </c>
      <c r="I172" s="496">
        <v>11832056</v>
      </c>
      <c r="J172" s="496">
        <v>13107284</v>
      </c>
      <c r="K172" s="496">
        <v>13034511</v>
      </c>
      <c r="L172" s="497">
        <v>13781498</v>
      </c>
      <c r="M172" s="463"/>
      <c r="O172" s="58">
        <f t="shared" si="57"/>
        <v>6.1982989585572653E-3</v>
      </c>
      <c r="P172" s="59">
        <f t="shared" si="58"/>
        <v>2.2488998267121605E-3</v>
      </c>
      <c r="Q172" s="59">
        <f t="shared" si="59"/>
        <v>6.2592039104203781E-4</v>
      </c>
      <c r="R172" s="59">
        <f t="shared" si="60"/>
        <v>9.7038648599912154E-4</v>
      </c>
      <c r="S172" s="59">
        <f t="shared" si="61"/>
        <v>8.5730702167958984E-4</v>
      </c>
      <c r="T172" s="59">
        <f t="shared" si="62"/>
        <v>6.4189698022196413E-4</v>
      </c>
      <c r="U172" s="59">
        <f t="shared" si="63"/>
        <v>5.4471102186277431E-4</v>
      </c>
      <c r="V172" s="59">
        <f t="shared" si="64"/>
        <v>5.8914001827617012E-4</v>
      </c>
      <c r="W172" s="59">
        <f t="shared" si="65"/>
        <v>5.7460375635182538E-4</v>
      </c>
      <c r="X172" s="59">
        <f t="shared" si="66"/>
        <v>4.7169118017543658E-4</v>
      </c>
      <c r="Y172" s="60">
        <f t="shared" si="67"/>
        <v>5.0463730660806224E-4</v>
      </c>
      <c r="Z172" s="60">
        <f t="shared" si="68"/>
        <v>1.2934084497714915E-3</v>
      </c>
      <c r="AB172" s="68"/>
      <c r="AC172" s="59">
        <f t="shared" si="69"/>
        <v>-0.43236188220021099</v>
      </c>
      <c r="AD172" s="59">
        <f t="shared" si="69"/>
        <v>-0.49908146128338893</v>
      </c>
      <c r="AE172" s="59">
        <f t="shared" si="69"/>
        <v>0.35443167771534845</v>
      </c>
      <c r="AF172" s="59">
        <f t="shared" si="56"/>
        <v>0.11013427868938197</v>
      </c>
      <c r="AG172" s="59">
        <f t="shared" si="55"/>
        <v>-0.11256866283396183</v>
      </c>
      <c r="AH172" s="59">
        <f t="shared" si="55"/>
        <v>-9.7811219561111162E-2</v>
      </c>
      <c r="AI172" s="59">
        <f t="shared" si="55"/>
        <v>0.45639967199159259</v>
      </c>
      <c r="AJ172" s="59">
        <f t="shared" si="55"/>
        <v>0.10777738036398743</v>
      </c>
      <c r="AK172" s="59">
        <f t="shared" si="82"/>
        <v>-5.5521037005072937E-3</v>
      </c>
      <c r="AL172" s="60">
        <f t="shared" si="82"/>
        <v>5.7308402286821547E-2</v>
      </c>
      <c r="AM172" s="65">
        <f t="shared" si="70"/>
        <v>-6.132391853204822E-3</v>
      </c>
      <c r="AO172" s="68"/>
      <c r="AP172" s="59">
        <f t="shared" si="71"/>
        <v>-0.47803391466686063</v>
      </c>
      <c r="AQ172" s="59">
        <f t="shared" si="72"/>
        <v>-0.53467855205145276</v>
      </c>
      <c r="AR172" s="59">
        <f t="shared" si="73"/>
        <v>0.26594231023025361</v>
      </c>
      <c r="AS172" s="59">
        <f t="shared" si="74"/>
        <v>4.2477489613467867E-2</v>
      </c>
      <c r="AT172" s="59">
        <f t="shared" si="75"/>
        <v>-0.15881310303635221</v>
      </c>
      <c r="AU172" s="59">
        <f t="shared" si="76"/>
        <v>-0.1395645230375353</v>
      </c>
      <c r="AV172" s="59">
        <f t="shared" si="77"/>
        <v>0.393950681462091</v>
      </c>
      <c r="AW172" s="59">
        <f t="shared" si="78"/>
        <v>4.8138310496723902E-2</v>
      </c>
      <c r="AX172" s="59">
        <f t="shared" si="79"/>
        <v>-7.6392777654413768E-2</v>
      </c>
      <c r="AY172" s="59">
        <f t="shared" si="80"/>
        <v>3.6576864987079905E-2</v>
      </c>
      <c r="AZ172" s="65">
        <f t="shared" si="81"/>
        <v>-6.0039721365699836E-2</v>
      </c>
    </row>
    <row r="173" spans="1:52" ht="38.25">
      <c r="A173" s="515" t="s">
        <v>205</v>
      </c>
      <c r="B173" s="495">
        <v>2250</v>
      </c>
      <c r="C173" s="496">
        <v>65280</v>
      </c>
      <c r="D173" s="496">
        <v>5946693</v>
      </c>
      <c r="E173" s="496">
        <v>141577</v>
      </c>
      <c r="F173" s="496">
        <v>6429919</v>
      </c>
      <c r="G173" s="496">
        <v>83834</v>
      </c>
      <c r="H173" s="496">
        <v>71200</v>
      </c>
      <c r="I173" s="496">
        <v>473252</v>
      </c>
      <c r="J173" s="496">
        <v>2815866</v>
      </c>
      <c r="K173" s="496">
        <v>6833434</v>
      </c>
      <c r="L173" s="497">
        <v>6637076</v>
      </c>
      <c r="M173" s="463"/>
      <c r="O173" s="58">
        <f t="shared" si="57"/>
        <v>5.8759602328706346E-7</v>
      </c>
      <c r="P173" s="59">
        <f t="shared" si="58"/>
        <v>1.0896888717328772E-5</v>
      </c>
      <c r="Q173" s="59">
        <f t="shared" si="59"/>
        <v>5.5154350238329516E-4</v>
      </c>
      <c r="R173" s="59">
        <f t="shared" si="60"/>
        <v>1.503022550832299E-5</v>
      </c>
      <c r="S173" s="59">
        <f t="shared" si="61"/>
        <v>5.4324335318844258E-4</v>
      </c>
      <c r="T173" s="59">
        <f t="shared" si="62"/>
        <v>5.9758996882641281E-6</v>
      </c>
      <c r="U173" s="59">
        <f t="shared" si="63"/>
        <v>4.7738251994637162E-6</v>
      </c>
      <c r="V173" s="59">
        <f t="shared" si="64"/>
        <v>2.3564095025347586E-5</v>
      </c>
      <c r="W173" s="59">
        <f t="shared" si="65"/>
        <v>1.2344336027077685E-4</v>
      </c>
      <c r="X173" s="59">
        <f t="shared" si="66"/>
        <v>2.4728741631434845E-4</v>
      </c>
      <c r="Y173" s="60">
        <f t="shared" si="67"/>
        <v>2.4302990548581954E-4</v>
      </c>
      <c r="Z173" s="60">
        <f t="shared" si="68"/>
        <v>1.6085236980042703E-4</v>
      </c>
      <c r="AB173" s="68"/>
      <c r="AC173" s="59">
        <f t="shared" si="69"/>
        <v>28.013333333333332</v>
      </c>
      <c r="AD173" s="59">
        <f t="shared" si="69"/>
        <v>90.095174632352936</v>
      </c>
      <c r="AE173" s="59">
        <f t="shared" si="69"/>
        <v>-0.97619231394659178</v>
      </c>
      <c r="AF173" s="59">
        <f t="shared" si="56"/>
        <v>44.416409445036976</v>
      </c>
      <c r="AG173" s="59">
        <f t="shared" si="55"/>
        <v>-0.98696188863343381</v>
      </c>
      <c r="AH173" s="59">
        <f t="shared" si="55"/>
        <v>-0.15070257890593319</v>
      </c>
      <c r="AI173" s="59">
        <f t="shared" si="55"/>
        <v>5.6467977528089888</v>
      </c>
      <c r="AJ173" s="59">
        <f t="shared" si="55"/>
        <v>4.9500350764497565</v>
      </c>
      <c r="AK173" s="59">
        <f t="shared" si="82"/>
        <v>1.4267610745681791</v>
      </c>
      <c r="AL173" s="60">
        <f t="shared" si="82"/>
        <v>-2.8734893759126079E-2</v>
      </c>
      <c r="AM173" s="65">
        <f t="shared" si="70"/>
        <v>17.240591963930509</v>
      </c>
      <c r="AO173" s="68"/>
      <c r="AP173" s="59">
        <f t="shared" si="71"/>
        <v>25.678927203065136</v>
      </c>
      <c r="AQ173" s="59">
        <f t="shared" si="72"/>
        <v>83.62162065244118</v>
      </c>
      <c r="AR173" s="59">
        <f t="shared" si="73"/>
        <v>-0.97774774646844731</v>
      </c>
      <c r="AS173" s="59">
        <f t="shared" si="74"/>
        <v>41.648520466745211</v>
      </c>
      <c r="AT173" s="59">
        <f t="shared" si="75"/>
        <v>-0.98764131039395975</v>
      </c>
      <c r="AU173" s="59">
        <f t="shared" si="76"/>
        <v>-0.19000806987804897</v>
      </c>
      <c r="AV173" s="59">
        <f t="shared" si="77"/>
        <v>5.3617895796410693</v>
      </c>
      <c r="AW173" s="59">
        <f t="shared" si="78"/>
        <v>4.6297048693819249</v>
      </c>
      <c r="AX173" s="59">
        <f t="shared" si="79"/>
        <v>1.2538878745873308</v>
      </c>
      <c r="AY173" s="59">
        <f t="shared" si="80"/>
        <v>-4.7779307606986343E-2</v>
      </c>
      <c r="AZ173" s="65">
        <f t="shared" si="81"/>
        <v>15.999127421151437</v>
      </c>
    </row>
    <row r="174" spans="1:52" ht="38.25">
      <c r="A174" s="515" t="s">
        <v>48</v>
      </c>
      <c r="B174" s="495"/>
      <c r="C174" s="496"/>
      <c r="D174" s="496">
        <v>7901</v>
      </c>
      <c r="E174" s="496">
        <v>67029</v>
      </c>
      <c r="F174" s="496">
        <v>139653</v>
      </c>
      <c r="G174" s="496">
        <v>63572</v>
      </c>
      <c r="H174" s="496">
        <v>113188</v>
      </c>
      <c r="I174" s="496">
        <v>317835</v>
      </c>
      <c r="J174" s="496">
        <v>358170</v>
      </c>
      <c r="K174" s="496">
        <v>304433</v>
      </c>
      <c r="L174" s="497">
        <v>212346</v>
      </c>
      <c r="M174" s="463"/>
      <c r="O174" s="58">
        <f t="shared" si="57"/>
        <v>0</v>
      </c>
      <c r="P174" s="59">
        <f t="shared" si="58"/>
        <v>0</v>
      </c>
      <c r="Q174" s="59">
        <f t="shared" si="59"/>
        <v>7.328014431433429E-7</v>
      </c>
      <c r="R174" s="59">
        <f t="shared" si="60"/>
        <v>7.115993315279895E-6</v>
      </c>
      <c r="S174" s="59">
        <f t="shared" si="61"/>
        <v>1.1798836657635277E-5</v>
      </c>
      <c r="T174" s="59">
        <f t="shared" si="62"/>
        <v>4.5315730489100747E-6</v>
      </c>
      <c r="U174" s="59">
        <f t="shared" si="63"/>
        <v>7.5890411050126276E-6</v>
      </c>
      <c r="V174" s="59">
        <f t="shared" si="64"/>
        <v>1.5825594276160164E-5</v>
      </c>
      <c r="W174" s="59">
        <f t="shared" si="65"/>
        <v>1.5701637914653661E-5</v>
      </c>
      <c r="X174" s="59">
        <f t="shared" si="66"/>
        <v>1.1016781608021097E-5</v>
      </c>
      <c r="Y174" s="60">
        <f t="shared" si="67"/>
        <v>7.7754764764320666E-6</v>
      </c>
      <c r="Z174" s="60">
        <f t="shared" si="68"/>
        <v>7.4625214404771082E-6</v>
      </c>
      <c r="AB174" s="68"/>
      <c r="AC174" s="59" t="str">
        <f t="shared" si="69"/>
        <v/>
      </c>
      <c r="AD174" s="59" t="str">
        <f t="shared" si="69"/>
        <v/>
      </c>
      <c r="AE174" s="59">
        <f t="shared" si="69"/>
        <v>7.4836096696620675</v>
      </c>
      <c r="AF174" s="59">
        <f t="shared" si="56"/>
        <v>1.0834713333034953</v>
      </c>
      <c r="AG174" s="59">
        <f t="shared" si="55"/>
        <v>-0.54478600531316901</v>
      </c>
      <c r="AH174" s="59">
        <f t="shared" si="55"/>
        <v>0.7804693890391996</v>
      </c>
      <c r="AI174" s="59">
        <f t="shared" si="55"/>
        <v>1.8080273527229034</v>
      </c>
      <c r="AJ174" s="59">
        <f t="shared" si="55"/>
        <v>0.12690546981924578</v>
      </c>
      <c r="AK174" s="59">
        <f t="shared" si="82"/>
        <v>-0.15003210765837449</v>
      </c>
      <c r="AL174" s="60">
        <f t="shared" si="82"/>
        <v>-0.30248691830386321</v>
      </c>
      <c r="AM174" s="65">
        <f t="shared" si="70"/>
        <v>1.2856472729089379</v>
      </c>
      <c r="AO174" s="68"/>
      <c r="AP174" s="59">
        <f t="shared" si="71"/>
        <v>0</v>
      </c>
      <c r="AQ174" s="59">
        <f t="shared" si="72"/>
        <v>0</v>
      </c>
      <c r="AR174" s="59">
        <f t="shared" si="73"/>
        <v>6.9293482284905759</v>
      </c>
      <c r="AS174" s="59">
        <f t="shared" si="74"/>
        <v>0.95649481951685167</v>
      </c>
      <c r="AT174" s="59">
        <f t="shared" si="75"/>
        <v>-0.56850740828256607</v>
      </c>
      <c r="AU174" s="59">
        <f t="shared" si="76"/>
        <v>0.69806925245706153</v>
      </c>
      <c r="AV174" s="59">
        <f t="shared" si="77"/>
        <v>1.6876218919629626</v>
      </c>
      <c r="AW174" s="59">
        <f t="shared" si="78"/>
        <v>6.6236606887355221E-2</v>
      </c>
      <c r="AX174" s="59">
        <f t="shared" si="79"/>
        <v>-0.21058057737380376</v>
      </c>
      <c r="AY174" s="59">
        <f t="shared" si="80"/>
        <v>-0.31616364539594433</v>
      </c>
      <c r="AZ174" s="65">
        <f t="shared" si="81"/>
        <v>0.92425191682624919</v>
      </c>
    </row>
    <row r="175" spans="1:52" ht="38.25">
      <c r="A175" s="515" t="s">
        <v>206</v>
      </c>
      <c r="B175" s="495">
        <v>1735410</v>
      </c>
      <c r="C175" s="496">
        <v>2194709</v>
      </c>
      <c r="D175" s="496">
        <v>1509753</v>
      </c>
      <c r="E175" s="496">
        <v>2173341</v>
      </c>
      <c r="F175" s="496">
        <v>1510891</v>
      </c>
      <c r="G175" s="496">
        <v>783692</v>
      </c>
      <c r="H175" s="496">
        <v>1182413</v>
      </c>
      <c r="I175" s="496">
        <v>1506711</v>
      </c>
      <c r="J175" s="496">
        <v>2284879</v>
      </c>
      <c r="K175" s="496">
        <v>2550910</v>
      </c>
      <c r="L175" s="497">
        <v>781129</v>
      </c>
      <c r="M175" s="463"/>
      <c r="O175" s="58">
        <f t="shared" si="57"/>
        <v>4.532088954544901E-4</v>
      </c>
      <c r="P175" s="59">
        <f t="shared" si="58"/>
        <v>3.6635263081985156E-4</v>
      </c>
      <c r="Q175" s="59">
        <f t="shared" si="59"/>
        <v>1.4002647477407814E-4</v>
      </c>
      <c r="R175" s="59">
        <f t="shared" si="60"/>
        <v>2.3072819269008522E-4</v>
      </c>
      <c r="S175" s="59">
        <f t="shared" si="61"/>
        <v>1.2765036280274123E-4</v>
      </c>
      <c r="T175" s="59">
        <f t="shared" si="62"/>
        <v>5.5863549138715691E-5</v>
      </c>
      <c r="U175" s="59">
        <f t="shared" si="63"/>
        <v>7.9278553027717569E-5</v>
      </c>
      <c r="V175" s="59">
        <f t="shared" si="64"/>
        <v>7.5021935839122679E-5</v>
      </c>
      <c r="W175" s="59">
        <f t="shared" si="65"/>
        <v>1.0016568315826547E-4</v>
      </c>
      <c r="X175" s="59">
        <f t="shared" si="66"/>
        <v>9.231199762087914E-5</v>
      </c>
      <c r="Y175" s="60">
        <f t="shared" si="67"/>
        <v>2.8602611608219153E-5</v>
      </c>
      <c r="Z175" s="60">
        <f t="shared" si="68"/>
        <v>1.5901917153946966E-4</v>
      </c>
      <c r="AB175" s="68"/>
      <c r="AC175" s="59">
        <f t="shared" si="69"/>
        <v>0.26466310554854466</v>
      </c>
      <c r="AD175" s="59">
        <f t="shared" si="69"/>
        <v>-0.31209422296987888</v>
      </c>
      <c r="AE175" s="59">
        <f t="shared" si="69"/>
        <v>0.43953414896343967</v>
      </c>
      <c r="AF175" s="59">
        <f t="shared" si="56"/>
        <v>-0.30480720696844166</v>
      </c>
      <c r="AG175" s="59">
        <f t="shared" si="55"/>
        <v>-0.48130474005073831</v>
      </c>
      <c r="AH175" s="59">
        <f t="shared" si="55"/>
        <v>0.5087725790233919</v>
      </c>
      <c r="AI175" s="59">
        <f t="shared" si="55"/>
        <v>0.27426795882656907</v>
      </c>
      <c r="AJ175" s="59">
        <f t="shared" si="55"/>
        <v>0.51646798888439793</v>
      </c>
      <c r="AK175" s="59">
        <f t="shared" si="82"/>
        <v>0.11643111079405077</v>
      </c>
      <c r="AL175" s="60">
        <f t="shared" si="82"/>
        <v>-0.69378417897926625</v>
      </c>
      <c r="AM175" s="65">
        <f t="shared" si="70"/>
        <v>3.2814654307206891E-2</v>
      </c>
      <c r="AO175" s="68"/>
      <c r="AP175" s="59">
        <f t="shared" si="71"/>
        <v>0.16290860280325958</v>
      </c>
      <c r="AQ175" s="59">
        <f t="shared" si="72"/>
        <v>-0.3609793060565526</v>
      </c>
      <c r="AR175" s="59">
        <f t="shared" si="73"/>
        <v>0.34548476396246341</v>
      </c>
      <c r="AS175" s="59">
        <f t="shared" si="74"/>
        <v>-0.34717551598125795</v>
      </c>
      <c r="AT175" s="59">
        <f t="shared" si="75"/>
        <v>-0.50833417988164098</v>
      </c>
      <c r="AU175" s="59">
        <f t="shared" si="76"/>
        <v>0.43894657283184424</v>
      </c>
      <c r="AV175" s="59">
        <f t="shared" si="77"/>
        <v>0.21962859765176979</v>
      </c>
      <c r="AW175" s="59">
        <f t="shared" si="78"/>
        <v>0.43482636851584644</v>
      </c>
      <c r="AX175" s="59">
        <f t="shared" si="79"/>
        <v>3.6900818049643069E-2</v>
      </c>
      <c r="AY175" s="59">
        <f t="shared" si="80"/>
        <v>-0.69978841076398646</v>
      </c>
      <c r="AZ175" s="65">
        <f t="shared" si="81"/>
        <v>-2.7758168886861147E-2</v>
      </c>
    </row>
    <row r="176" spans="1:52" ht="38.25">
      <c r="A176" s="515" t="s">
        <v>207</v>
      </c>
      <c r="B176" s="495">
        <v>5670041</v>
      </c>
      <c r="C176" s="496">
        <v>18831676</v>
      </c>
      <c r="D176" s="496">
        <v>20692085</v>
      </c>
      <c r="E176" s="496">
        <v>25225282</v>
      </c>
      <c r="F176" s="496">
        <v>31805240</v>
      </c>
      <c r="G176" s="496">
        <v>27396044</v>
      </c>
      <c r="H176" s="496">
        <v>33468814</v>
      </c>
      <c r="I176" s="496">
        <v>36804551</v>
      </c>
      <c r="J176" s="496">
        <v>26851643</v>
      </c>
      <c r="K176" s="496">
        <v>23272874</v>
      </c>
      <c r="L176" s="497">
        <v>24203778</v>
      </c>
      <c r="M176" s="463"/>
      <c r="O176" s="58">
        <f t="shared" si="57"/>
        <v>1.480752685988713E-3</v>
      </c>
      <c r="P176" s="59">
        <f t="shared" si="58"/>
        <v>3.1434846466420192E-3</v>
      </c>
      <c r="Q176" s="59">
        <f t="shared" si="59"/>
        <v>1.9191481774009263E-3</v>
      </c>
      <c r="R176" s="59">
        <f t="shared" si="60"/>
        <v>2.6779892000186522E-3</v>
      </c>
      <c r="S176" s="59">
        <f t="shared" si="61"/>
        <v>2.6871233100390812E-3</v>
      </c>
      <c r="T176" s="59">
        <f t="shared" si="62"/>
        <v>1.9528593506127627E-3</v>
      </c>
      <c r="U176" s="59">
        <f t="shared" si="63"/>
        <v>2.2440206133337642E-3</v>
      </c>
      <c r="V176" s="59">
        <f t="shared" si="64"/>
        <v>1.8325668716228385E-3</v>
      </c>
      <c r="W176" s="59">
        <f t="shared" si="65"/>
        <v>1.1771359293060407E-3</v>
      </c>
      <c r="X176" s="59">
        <f t="shared" si="66"/>
        <v>8.421957220439059E-4</v>
      </c>
      <c r="Y176" s="60">
        <f t="shared" si="67"/>
        <v>8.8627008033955888E-4</v>
      </c>
      <c r="Z176" s="60">
        <f t="shared" si="68"/>
        <v>1.8948678715771147E-3</v>
      </c>
      <c r="AB176" s="68"/>
      <c r="AC176" s="59">
        <f t="shared" si="69"/>
        <v>2.3212592289897023</v>
      </c>
      <c r="AD176" s="59">
        <f t="shared" si="69"/>
        <v>9.8791472410634018E-2</v>
      </c>
      <c r="AE176" s="59">
        <f t="shared" si="69"/>
        <v>0.21907879268812214</v>
      </c>
      <c r="AF176" s="59">
        <f t="shared" si="56"/>
        <v>0.26084774790624743</v>
      </c>
      <c r="AG176" s="59">
        <f t="shared" si="55"/>
        <v>-0.13863111864585831</v>
      </c>
      <c r="AH176" s="59">
        <f t="shared" si="55"/>
        <v>0.22166594563799058</v>
      </c>
      <c r="AI176" s="59">
        <f t="shared" si="55"/>
        <v>9.9667021365023478E-2</v>
      </c>
      <c r="AJ176" s="59">
        <f t="shared" si="55"/>
        <v>-0.27042601334818617</v>
      </c>
      <c r="AK176" s="59">
        <f t="shared" si="82"/>
        <v>-0.13327933043054385</v>
      </c>
      <c r="AL176" s="60">
        <f t="shared" si="82"/>
        <v>3.9999529065469108E-2</v>
      </c>
      <c r="AM176" s="65">
        <f t="shared" si="70"/>
        <v>0.27189732756386009</v>
      </c>
      <c r="AO176" s="68"/>
      <c r="AP176" s="59">
        <f t="shared" si="71"/>
        <v>2.0540314749330597</v>
      </c>
      <c r="AQ176" s="59">
        <f t="shared" si="72"/>
        <v>2.0707359415359061E-2</v>
      </c>
      <c r="AR176" s="59">
        <f t="shared" si="73"/>
        <v>0.13943246349015981</v>
      </c>
      <c r="AS176" s="59">
        <f t="shared" si="74"/>
        <v>0.18400577322400924</v>
      </c>
      <c r="AT176" s="59">
        <f t="shared" si="75"/>
        <v>-0.18351743272756249</v>
      </c>
      <c r="AU176" s="59">
        <f t="shared" si="76"/>
        <v>0.16512723657731998</v>
      </c>
      <c r="AV176" s="59">
        <f t="shared" si="77"/>
        <v>5.2514377263613632E-2</v>
      </c>
      <c r="AW176" s="59">
        <f t="shared" si="78"/>
        <v>-0.30970386351422663</v>
      </c>
      <c r="AX176" s="59">
        <f t="shared" si="79"/>
        <v>-0.19502120407777823</v>
      </c>
      <c r="AY176" s="59">
        <f t="shared" si="80"/>
        <v>1.960738143673435E-2</v>
      </c>
      <c r="AZ176" s="65">
        <f t="shared" si="81"/>
        <v>0.19471835660206885</v>
      </c>
    </row>
    <row r="177" spans="1:52" ht="38.25">
      <c r="A177" s="515" t="s">
        <v>208</v>
      </c>
      <c r="B177" s="495">
        <v>764233</v>
      </c>
      <c r="C177" s="496">
        <v>1292765</v>
      </c>
      <c r="D177" s="496">
        <v>2694775</v>
      </c>
      <c r="E177" s="496">
        <v>2842819</v>
      </c>
      <c r="F177" s="496">
        <v>4012560</v>
      </c>
      <c r="G177" s="496">
        <v>4322006</v>
      </c>
      <c r="H177" s="496">
        <v>2576351</v>
      </c>
      <c r="I177" s="496">
        <v>6232333</v>
      </c>
      <c r="J177" s="496">
        <v>3925221</v>
      </c>
      <c r="K177" s="496">
        <v>3319904</v>
      </c>
      <c r="L177" s="497">
        <v>9545480</v>
      </c>
      <c r="M177" s="463"/>
      <c r="O177" s="58">
        <f t="shared" si="57"/>
        <v>1.995823429621077E-4</v>
      </c>
      <c r="P177" s="59">
        <f t="shared" si="58"/>
        <v>2.1579528711178814E-4</v>
      </c>
      <c r="Q177" s="59">
        <f t="shared" si="59"/>
        <v>2.499348195097585E-4</v>
      </c>
      <c r="R177" s="59">
        <f t="shared" si="60"/>
        <v>3.0180192156455674E-4</v>
      </c>
      <c r="S177" s="59">
        <f t="shared" si="61"/>
        <v>3.3900839952568875E-4</v>
      </c>
      <c r="T177" s="59">
        <f t="shared" si="62"/>
        <v>3.0808352587346057E-4</v>
      </c>
      <c r="U177" s="59">
        <f t="shared" si="63"/>
        <v>1.7273945683235313E-4</v>
      </c>
      <c r="V177" s="59">
        <f t="shared" si="64"/>
        <v>3.1031942187589189E-4</v>
      </c>
      <c r="W177" s="59">
        <f t="shared" si="65"/>
        <v>1.7207582677777246E-4</v>
      </c>
      <c r="X177" s="59">
        <f t="shared" si="66"/>
        <v>1.2014025196872767E-4</v>
      </c>
      <c r="Y177" s="60">
        <f t="shared" si="67"/>
        <v>3.4952697576715719E-4</v>
      </c>
      <c r="Z177" s="60">
        <f t="shared" si="68"/>
        <v>2.4900074816084202E-4</v>
      </c>
      <c r="AB177" s="68"/>
      <c r="AC177" s="59">
        <f t="shared" si="69"/>
        <v>0.69158489622929142</v>
      </c>
      <c r="AD177" s="59">
        <f t="shared" si="69"/>
        <v>1.0845049177538066</v>
      </c>
      <c r="AE177" s="59">
        <f t="shared" si="69"/>
        <v>5.4937425202475243E-2</v>
      </c>
      <c r="AF177" s="59">
        <f t="shared" si="56"/>
        <v>0.41147220417479979</v>
      </c>
      <c r="AG177" s="59">
        <f t="shared" si="55"/>
        <v>7.7119345255896476E-2</v>
      </c>
      <c r="AH177" s="59">
        <f t="shared" si="55"/>
        <v>-0.40389925418891137</v>
      </c>
      <c r="AI177" s="59">
        <f t="shared" si="55"/>
        <v>1.4190543136397178</v>
      </c>
      <c r="AJ177" s="59">
        <f t="shared" si="55"/>
        <v>-0.37018432744206708</v>
      </c>
      <c r="AK177" s="59">
        <f t="shared" si="82"/>
        <v>-0.15421220868837704</v>
      </c>
      <c r="AL177" s="60">
        <f t="shared" si="82"/>
        <v>1.8752277174279737</v>
      </c>
      <c r="AM177" s="65">
        <f t="shared" si="70"/>
        <v>0.46856050293646057</v>
      </c>
      <c r="AO177" s="68"/>
      <c r="AP177" s="59">
        <f t="shared" si="71"/>
        <v>0.55548036434877379</v>
      </c>
      <c r="AQ177" s="59">
        <f t="shared" si="72"/>
        <v>0.93637242708203128</v>
      </c>
      <c r="AR177" s="59">
        <f t="shared" si="73"/>
        <v>-1.3985021775422823E-2</v>
      </c>
      <c r="AS177" s="59">
        <f t="shared" si="74"/>
        <v>0.32545046875274664</v>
      </c>
      <c r="AT177" s="59">
        <f t="shared" si="75"/>
        <v>2.0990178900793355E-2</v>
      </c>
      <c r="AU177" s="59">
        <f t="shared" si="76"/>
        <v>-0.43148680114362437</v>
      </c>
      <c r="AV177" s="59">
        <f t="shared" si="77"/>
        <v>1.3153276355663457</v>
      </c>
      <c r="AW177" s="59">
        <f t="shared" si="78"/>
        <v>-0.40409151995653991</v>
      </c>
      <c r="AX177" s="59">
        <f t="shared" si="79"/>
        <v>-0.21446290395502654</v>
      </c>
      <c r="AY177" s="59">
        <f t="shared" si="80"/>
        <v>1.8188507033607584</v>
      </c>
      <c r="AZ177" s="65">
        <f t="shared" si="81"/>
        <v>0.39084455311808358</v>
      </c>
    </row>
    <row r="178" spans="1:52" ht="51">
      <c r="A178" s="515" t="s">
        <v>209</v>
      </c>
      <c r="B178" s="495"/>
      <c r="C178" s="496"/>
      <c r="D178" s="496"/>
      <c r="E178" s="496"/>
      <c r="F178" s="496">
        <v>1350170</v>
      </c>
      <c r="G178" s="496"/>
      <c r="H178" s="496"/>
      <c r="I178" s="496"/>
      <c r="J178" s="496"/>
      <c r="K178" s="496"/>
      <c r="L178" s="497"/>
      <c r="M178" s="463"/>
      <c r="O178" s="58">
        <f t="shared" si="57"/>
        <v>0</v>
      </c>
      <c r="P178" s="59">
        <f t="shared" si="58"/>
        <v>0</v>
      </c>
      <c r="Q178" s="59">
        <f t="shared" si="59"/>
        <v>0</v>
      </c>
      <c r="R178" s="59">
        <f t="shared" si="60"/>
        <v>0</v>
      </c>
      <c r="S178" s="59">
        <f t="shared" si="61"/>
        <v>1.1407155800476483E-4</v>
      </c>
      <c r="T178" s="59">
        <f t="shared" si="62"/>
        <v>0</v>
      </c>
      <c r="U178" s="59">
        <f t="shared" si="63"/>
        <v>0</v>
      </c>
      <c r="V178" s="59">
        <f t="shared" si="64"/>
        <v>0</v>
      </c>
      <c r="W178" s="59">
        <f t="shared" si="65"/>
        <v>0</v>
      </c>
      <c r="X178" s="59">
        <f t="shared" si="66"/>
        <v>0</v>
      </c>
      <c r="Y178" s="60">
        <f t="shared" si="67"/>
        <v>0</v>
      </c>
      <c r="Z178" s="60">
        <f t="shared" si="68"/>
        <v>1.0370141636796803E-5</v>
      </c>
      <c r="AB178" s="68"/>
      <c r="AC178" s="59" t="str">
        <f t="shared" si="69"/>
        <v/>
      </c>
      <c r="AD178" s="59" t="str">
        <f t="shared" si="69"/>
        <v/>
      </c>
      <c r="AE178" s="59" t="str">
        <f t="shared" si="69"/>
        <v/>
      </c>
      <c r="AF178" s="59" t="str">
        <f t="shared" si="56"/>
        <v/>
      </c>
      <c r="AG178" s="59">
        <f t="shared" si="55"/>
        <v>-1</v>
      </c>
      <c r="AH178" s="59" t="str">
        <f t="shared" si="55"/>
        <v/>
      </c>
      <c r="AI178" s="59" t="str">
        <f t="shared" si="55"/>
        <v/>
      </c>
      <c r="AJ178" s="59" t="str">
        <f t="shared" si="55"/>
        <v/>
      </c>
      <c r="AK178" s="59" t="str">
        <f t="shared" si="82"/>
        <v/>
      </c>
      <c r="AL178" s="60" t="str">
        <f t="shared" si="82"/>
        <v/>
      </c>
      <c r="AM178" s="65">
        <f t="shared" si="70"/>
        <v>-1</v>
      </c>
      <c r="AO178" s="68"/>
      <c r="AP178" s="59">
        <f t="shared" si="71"/>
        <v>0</v>
      </c>
      <c r="AQ178" s="59">
        <f t="shared" si="72"/>
        <v>0</v>
      </c>
      <c r="AR178" s="59">
        <f t="shared" si="73"/>
        <v>0</v>
      </c>
      <c r="AS178" s="59">
        <f t="shared" si="74"/>
        <v>0</v>
      </c>
      <c r="AT178" s="59">
        <f t="shared" si="75"/>
        <v>-1</v>
      </c>
      <c r="AU178" s="59">
        <f t="shared" si="76"/>
        <v>0</v>
      </c>
      <c r="AV178" s="59">
        <f t="shared" si="77"/>
        <v>0</v>
      </c>
      <c r="AW178" s="59">
        <f t="shared" si="78"/>
        <v>0</v>
      </c>
      <c r="AX178" s="59">
        <f t="shared" si="79"/>
        <v>0</v>
      </c>
      <c r="AY178" s="59">
        <f t="shared" si="80"/>
        <v>0</v>
      </c>
      <c r="AZ178" s="65">
        <f t="shared" si="81"/>
        <v>-0.1</v>
      </c>
    </row>
    <row r="179" spans="1:52" ht="38.25">
      <c r="A179" s="515" t="s">
        <v>210</v>
      </c>
      <c r="B179" s="495"/>
      <c r="C179" s="496"/>
      <c r="D179" s="496">
        <v>24683</v>
      </c>
      <c r="E179" s="496">
        <v>84555</v>
      </c>
      <c r="F179" s="496">
        <v>6813</v>
      </c>
      <c r="G179" s="496">
        <v>1057877</v>
      </c>
      <c r="H179" s="496">
        <v>177</v>
      </c>
      <c r="I179" s="496"/>
      <c r="J179" s="496">
        <v>135088</v>
      </c>
      <c r="K179" s="496">
        <v>169305</v>
      </c>
      <c r="L179" s="497">
        <v>240402</v>
      </c>
      <c r="M179" s="463"/>
      <c r="O179" s="58">
        <f t="shared" si="57"/>
        <v>0</v>
      </c>
      <c r="P179" s="59">
        <f t="shared" si="58"/>
        <v>0</v>
      </c>
      <c r="Q179" s="59">
        <f t="shared" si="59"/>
        <v>2.2892973068101675E-6</v>
      </c>
      <c r="R179" s="59">
        <f t="shared" si="60"/>
        <v>8.9766043768143861E-6</v>
      </c>
      <c r="S179" s="59">
        <f t="shared" si="61"/>
        <v>5.7560864534574367E-7</v>
      </c>
      <c r="T179" s="59">
        <f t="shared" si="62"/>
        <v>7.5408149849962917E-5</v>
      </c>
      <c r="U179" s="59">
        <f t="shared" si="63"/>
        <v>1.1867514891925248E-8</v>
      </c>
      <c r="V179" s="59">
        <f t="shared" si="64"/>
        <v>0</v>
      </c>
      <c r="W179" s="59">
        <f t="shared" si="65"/>
        <v>5.9220561817425631E-6</v>
      </c>
      <c r="X179" s="59">
        <f t="shared" si="66"/>
        <v>6.1267872081739227E-6</v>
      </c>
      <c r="Y179" s="60">
        <f t="shared" si="67"/>
        <v>8.8028034240683678E-6</v>
      </c>
      <c r="Z179" s="60">
        <f t="shared" si="68"/>
        <v>9.8284704098009083E-6</v>
      </c>
      <c r="AB179" s="68"/>
      <c r="AC179" s="59" t="str">
        <f t="shared" si="69"/>
        <v/>
      </c>
      <c r="AD179" s="59" t="str">
        <f t="shared" si="69"/>
        <v/>
      </c>
      <c r="AE179" s="59">
        <f t="shared" si="69"/>
        <v>2.4256370781509542</v>
      </c>
      <c r="AF179" s="59">
        <f t="shared" si="56"/>
        <v>-0.91942522618414046</v>
      </c>
      <c r="AG179" s="59">
        <f t="shared" si="55"/>
        <v>154.27330104212535</v>
      </c>
      <c r="AH179" s="59">
        <f t="shared" si="55"/>
        <v>-0.99983268376191181</v>
      </c>
      <c r="AI179" s="59">
        <f t="shared" si="55"/>
        <v>-1</v>
      </c>
      <c r="AJ179" s="59" t="str">
        <f t="shared" si="55"/>
        <v/>
      </c>
      <c r="AK179" s="59">
        <f t="shared" si="82"/>
        <v>0.25329414899917091</v>
      </c>
      <c r="AL179" s="60">
        <f t="shared" si="82"/>
        <v>0.41993443784885276</v>
      </c>
      <c r="AM179" s="65">
        <f t="shared" si="70"/>
        <v>22.064701256739756</v>
      </c>
      <c r="AO179" s="68"/>
      <c r="AP179" s="59">
        <f t="shared" si="71"/>
        <v>0</v>
      </c>
      <c r="AQ179" s="59">
        <f t="shared" si="72"/>
        <v>0</v>
      </c>
      <c r="AR179" s="59">
        <f t="shared" si="73"/>
        <v>2.2018292159556538</v>
      </c>
      <c r="AS179" s="59">
        <f t="shared" si="74"/>
        <v>-0.92433583076734005</v>
      </c>
      <c r="AT179" s="59">
        <f t="shared" si="75"/>
        <v>146.18194052289809</v>
      </c>
      <c r="AU179" s="59">
        <f t="shared" si="76"/>
        <v>-0.9998404271586564</v>
      </c>
      <c r="AV179" s="59">
        <f t="shared" si="77"/>
        <v>-1</v>
      </c>
      <c r="AW179" s="59">
        <f t="shared" si="78"/>
        <v>0</v>
      </c>
      <c r="AX179" s="59">
        <f t="shared" si="79"/>
        <v>0.16401425559503191</v>
      </c>
      <c r="AY179" s="59">
        <f t="shared" si="80"/>
        <v>0.39209258612632625</v>
      </c>
      <c r="AZ179" s="65">
        <f t="shared" si="81"/>
        <v>14.601570032264908</v>
      </c>
    </row>
    <row r="180" spans="1:52" ht="63.75">
      <c r="A180" s="515" t="s">
        <v>49</v>
      </c>
      <c r="B180" s="495">
        <v>8171934</v>
      </c>
      <c r="C180" s="496">
        <v>22384429</v>
      </c>
      <c r="D180" s="496">
        <v>30875889</v>
      </c>
      <c r="E180" s="496">
        <v>30534602</v>
      </c>
      <c r="F180" s="496">
        <v>45255246</v>
      </c>
      <c r="G180" s="496">
        <v>33707025</v>
      </c>
      <c r="H180" s="496">
        <v>37412143</v>
      </c>
      <c r="I180" s="496">
        <v>45334682</v>
      </c>
      <c r="J180" s="496">
        <v>36370867</v>
      </c>
      <c r="K180" s="496">
        <v>36450860</v>
      </c>
      <c r="L180" s="497">
        <v>41620211</v>
      </c>
      <c r="M180" s="463"/>
      <c r="O180" s="58">
        <f t="shared" si="57"/>
        <v>2.1341315204285978E-3</v>
      </c>
      <c r="P180" s="59">
        <f t="shared" si="58"/>
        <v>3.7365292863656089E-3</v>
      </c>
      <c r="Q180" s="59">
        <f t="shared" si="59"/>
        <v>2.8636749800700755E-3</v>
      </c>
      <c r="R180" s="59">
        <f t="shared" si="60"/>
        <v>3.2416420313108076E-3</v>
      </c>
      <c r="S180" s="59">
        <f t="shared" si="61"/>
        <v>3.8234714288636999E-3</v>
      </c>
      <c r="T180" s="59">
        <f t="shared" si="62"/>
        <v>2.4027220482120762E-3</v>
      </c>
      <c r="U180" s="59">
        <f t="shared" si="63"/>
        <v>2.508413357013203E-3</v>
      </c>
      <c r="V180" s="59">
        <f t="shared" si="64"/>
        <v>2.2572979186393609E-3</v>
      </c>
      <c r="W180" s="59">
        <f t="shared" si="65"/>
        <v>1.5944444936092515E-3</v>
      </c>
      <c r="X180" s="59">
        <f t="shared" si="66"/>
        <v>1.3190789567640562E-3</v>
      </c>
      <c r="Y180" s="60">
        <f t="shared" si="67"/>
        <v>1.5240078531012552E-3</v>
      </c>
      <c r="Z180" s="60">
        <f t="shared" si="68"/>
        <v>2.4914012613070895E-3</v>
      </c>
      <c r="AB180" s="68"/>
      <c r="AC180" s="59">
        <f t="shared" si="69"/>
        <v>1.7391837721645818</v>
      </c>
      <c r="AD180" s="59">
        <f t="shared" si="69"/>
        <v>0.37934673249873829</v>
      </c>
      <c r="AE180" s="59">
        <f t="shared" si="69"/>
        <v>-1.1053511689979145E-2</v>
      </c>
      <c r="AF180" s="59">
        <f t="shared" si="56"/>
        <v>0.48209713033102575</v>
      </c>
      <c r="AG180" s="59">
        <f t="shared" si="55"/>
        <v>-0.25517971993788302</v>
      </c>
      <c r="AH180" s="59">
        <f t="shared" si="55"/>
        <v>0.10992124045358498</v>
      </c>
      <c r="AI180" s="59">
        <f t="shared" si="55"/>
        <v>0.21176383828106293</v>
      </c>
      <c r="AJ180" s="59">
        <f t="shared" si="55"/>
        <v>-0.19772533090669964</v>
      </c>
      <c r="AK180" s="59">
        <f t="shared" si="82"/>
        <v>2.1993701717366587E-3</v>
      </c>
      <c r="AL180" s="60">
        <f t="shared" si="82"/>
        <v>0.14181698319326341</v>
      </c>
      <c r="AM180" s="65">
        <f t="shared" si="70"/>
        <v>0.2602370504559432</v>
      </c>
      <c r="AO180" s="68"/>
      <c r="AP180" s="59">
        <f t="shared" si="71"/>
        <v>1.5187896755536388</v>
      </c>
      <c r="AQ180" s="59">
        <f t="shared" si="72"/>
        <v>0.28132534370528406</v>
      </c>
      <c r="AR180" s="59">
        <f t="shared" si="73"/>
        <v>-7.5664559014841815E-2</v>
      </c>
      <c r="AS180" s="59">
        <f t="shared" si="74"/>
        <v>0.39177118070337658</v>
      </c>
      <c r="AT180" s="59">
        <f t="shared" si="75"/>
        <v>-0.29399263476333259</v>
      </c>
      <c r="AU180" s="59">
        <f t="shared" si="76"/>
        <v>5.8554077180901443E-2</v>
      </c>
      <c r="AV180" s="59">
        <f t="shared" si="77"/>
        <v>0.15980459253547386</v>
      </c>
      <c r="AW180" s="59">
        <f t="shared" si="78"/>
        <v>-0.24091714533702302</v>
      </c>
      <c r="AX180" s="59">
        <f t="shared" si="79"/>
        <v>-6.9193489206151537E-2</v>
      </c>
      <c r="AY180" s="59">
        <f t="shared" si="80"/>
        <v>0.11942841489535616</v>
      </c>
      <c r="AZ180" s="65">
        <f t="shared" si="81"/>
        <v>0.18499054562526823</v>
      </c>
    </row>
    <row r="181" spans="1:52" ht="38.25">
      <c r="A181" s="515" t="s">
        <v>50</v>
      </c>
      <c r="B181" s="495">
        <v>34613439</v>
      </c>
      <c r="C181" s="496">
        <v>55138899</v>
      </c>
      <c r="D181" s="496">
        <v>72657933</v>
      </c>
      <c r="E181" s="496">
        <v>1024085</v>
      </c>
      <c r="F181" s="496">
        <v>881090</v>
      </c>
      <c r="G181" s="496">
        <v>5480531</v>
      </c>
      <c r="H181" s="496">
        <v>1026871</v>
      </c>
      <c r="I181" s="496">
        <v>2776387</v>
      </c>
      <c r="J181" s="496">
        <v>2427566</v>
      </c>
      <c r="K181" s="496">
        <v>7830954</v>
      </c>
      <c r="L181" s="497">
        <v>10980581</v>
      </c>
      <c r="M181" s="463"/>
      <c r="O181" s="58">
        <f t="shared" si="57"/>
        <v>9.0394307149730437E-3</v>
      </c>
      <c r="P181" s="59">
        <f t="shared" si="58"/>
        <v>9.2040815931224065E-3</v>
      </c>
      <c r="Q181" s="59">
        <f t="shared" si="59"/>
        <v>6.7388733272006479E-3</v>
      </c>
      <c r="R181" s="59">
        <f t="shared" si="60"/>
        <v>1.0871983789521567E-4</v>
      </c>
      <c r="S181" s="59">
        <f t="shared" si="61"/>
        <v>7.4440484562994465E-5</v>
      </c>
      <c r="T181" s="59">
        <f t="shared" si="62"/>
        <v>3.9066611988479487E-4</v>
      </c>
      <c r="U181" s="59">
        <f t="shared" si="63"/>
        <v>6.8849756410091373E-5</v>
      </c>
      <c r="V181" s="59">
        <f t="shared" si="64"/>
        <v>1.3824145929682222E-4</v>
      </c>
      <c r="W181" s="59">
        <f t="shared" si="65"/>
        <v>1.0642086815178303E-4</v>
      </c>
      <c r="X181" s="59">
        <f t="shared" si="66"/>
        <v>2.8338553967690509E-4</v>
      </c>
      <c r="Y181" s="60">
        <f t="shared" si="67"/>
        <v>4.0207608932147016E-4</v>
      </c>
      <c r="Z181" s="60">
        <f t="shared" si="68"/>
        <v>2.414107799136016E-3</v>
      </c>
      <c r="AB181" s="68"/>
      <c r="AC181" s="59">
        <f t="shared" si="69"/>
        <v>0.59299106338436935</v>
      </c>
      <c r="AD181" s="59">
        <f t="shared" si="69"/>
        <v>0.31772549538938022</v>
      </c>
      <c r="AE181" s="59">
        <f t="shared" si="69"/>
        <v>-0.98590539315232106</v>
      </c>
      <c r="AF181" s="59">
        <f t="shared" si="56"/>
        <v>-0.13963196414360135</v>
      </c>
      <c r="AG181" s="59">
        <f t="shared" si="55"/>
        <v>5.2201716056248513</v>
      </c>
      <c r="AH181" s="59">
        <f t="shared" si="55"/>
        <v>-0.81263293648006008</v>
      </c>
      <c r="AI181" s="59">
        <f t="shared" si="55"/>
        <v>1.7037349384684153</v>
      </c>
      <c r="AJ181" s="59">
        <f t="shared" si="55"/>
        <v>-0.1256384646664892</v>
      </c>
      <c r="AK181" s="59">
        <f t="shared" si="82"/>
        <v>2.225845970820155</v>
      </c>
      <c r="AL181" s="60">
        <f t="shared" si="82"/>
        <v>0.40220220933490358</v>
      </c>
      <c r="AM181" s="65">
        <f t="shared" si="70"/>
        <v>0.83988625245796023</v>
      </c>
      <c r="AO181" s="68"/>
      <c r="AP181" s="59">
        <f t="shared" si="71"/>
        <v>0.46481936862930517</v>
      </c>
      <c r="AQ181" s="59">
        <f t="shared" si="72"/>
        <v>0.22408313552195103</v>
      </c>
      <c r="AR181" s="59">
        <f t="shared" si="73"/>
        <v>-0.98682623904320133</v>
      </c>
      <c r="AS181" s="59">
        <f t="shared" si="74"/>
        <v>-0.19206682706695588</v>
      </c>
      <c r="AT181" s="59">
        <f t="shared" si="75"/>
        <v>4.8960357070847857</v>
      </c>
      <c r="AU181" s="59">
        <f t="shared" si="76"/>
        <v>-0.82130428557490109</v>
      </c>
      <c r="AV181" s="59">
        <f t="shared" si="77"/>
        <v>1.5878014342155584</v>
      </c>
      <c r="AW181" s="59">
        <f t="shared" si="78"/>
        <v>-0.172711197527192</v>
      </c>
      <c r="AX181" s="59">
        <f t="shared" si="79"/>
        <v>1.996049011628267</v>
      </c>
      <c r="AY181" s="59">
        <f t="shared" si="80"/>
        <v>0.37470804836755245</v>
      </c>
      <c r="AZ181" s="65">
        <f t="shared" si="81"/>
        <v>0.73705881562351694</v>
      </c>
    </row>
    <row r="182" spans="1:52" ht="25.5">
      <c r="A182" s="515" t="s">
        <v>211</v>
      </c>
      <c r="B182" s="495"/>
      <c r="C182" s="496"/>
      <c r="D182" s="496"/>
      <c r="E182" s="496"/>
      <c r="F182" s="496"/>
      <c r="G182" s="496"/>
      <c r="H182" s="496"/>
      <c r="I182" s="496">
        <v>765</v>
      </c>
      <c r="J182" s="496"/>
      <c r="K182" s="496"/>
      <c r="L182" s="497">
        <v>93717</v>
      </c>
      <c r="M182" s="463"/>
      <c r="O182" s="58">
        <f t="shared" si="57"/>
        <v>0</v>
      </c>
      <c r="P182" s="59">
        <f t="shared" si="58"/>
        <v>0</v>
      </c>
      <c r="Q182" s="59">
        <f t="shared" si="59"/>
        <v>0</v>
      </c>
      <c r="R182" s="59">
        <f t="shared" si="60"/>
        <v>0</v>
      </c>
      <c r="S182" s="59">
        <f t="shared" si="61"/>
        <v>0</v>
      </c>
      <c r="T182" s="59">
        <f t="shared" si="62"/>
        <v>0</v>
      </c>
      <c r="U182" s="59">
        <f t="shared" si="63"/>
        <v>0</v>
      </c>
      <c r="V182" s="59">
        <f t="shared" si="64"/>
        <v>3.8090769176656208E-8</v>
      </c>
      <c r="W182" s="59">
        <f t="shared" si="65"/>
        <v>0</v>
      </c>
      <c r="X182" s="59">
        <f t="shared" si="66"/>
        <v>0</v>
      </c>
      <c r="Y182" s="60">
        <f t="shared" si="67"/>
        <v>3.4316367105656993E-6</v>
      </c>
      <c r="Z182" s="60">
        <f t="shared" si="68"/>
        <v>3.1542977088566869E-7</v>
      </c>
      <c r="AB182" s="68"/>
      <c r="AC182" s="59" t="str">
        <f t="shared" si="69"/>
        <v/>
      </c>
      <c r="AD182" s="59" t="str">
        <f t="shared" si="69"/>
        <v/>
      </c>
      <c r="AE182" s="59" t="str">
        <f t="shared" si="69"/>
        <v/>
      </c>
      <c r="AF182" s="59" t="str">
        <f t="shared" si="56"/>
        <v/>
      </c>
      <c r="AG182" s="59" t="str">
        <f t="shared" si="55"/>
        <v/>
      </c>
      <c r="AH182" s="59" t="str">
        <f t="shared" si="55"/>
        <v/>
      </c>
      <c r="AI182" s="59" t="str">
        <f t="shared" si="55"/>
        <v/>
      </c>
      <c r="AJ182" s="59">
        <f t="shared" si="55"/>
        <v>-1</v>
      </c>
      <c r="AK182" s="59" t="str">
        <f t="shared" si="82"/>
        <v/>
      </c>
      <c r="AL182" s="60" t="str">
        <f t="shared" si="82"/>
        <v/>
      </c>
      <c r="AM182" s="65">
        <f t="shared" si="70"/>
        <v>-1</v>
      </c>
      <c r="AO182" s="68"/>
      <c r="AP182" s="59">
        <f t="shared" si="71"/>
        <v>0</v>
      </c>
      <c r="AQ182" s="59">
        <f t="shared" si="72"/>
        <v>0</v>
      </c>
      <c r="AR182" s="59">
        <f t="shared" si="73"/>
        <v>0</v>
      </c>
      <c r="AS182" s="59">
        <f t="shared" si="74"/>
        <v>0</v>
      </c>
      <c r="AT182" s="59">
        <f t="shared" si="75"/>
        <v>0</v>
      </c>
      <c r="AU182" s="59">
        <f t="shared" si="76"/>
        <v>0</v>
      </c>
      <c r="AV182" s="59">
        <f t="shared" si="77"/>
        <v>0</v>
      </c>
      <c r="AW182" s="59">
        <f t="shared" si="78"/>
        <v>-1</v>
      </c>
      <c r="AX182" s="59">
        <f t="shared" si="79"/>
        <v>0</v>
      </c>
      <c r="AY182" s="59">
        <f t="shared" si="80"/>
        <v>0</v>
      </c>
      <c r="AZ182" s="65">
        <f t="shared" si="81"/>
        <v>-0.1</v>
      </c>
    </row>
    <row r="183" spans="1:52" ht="51">
      <c r="A183" s="515" t="s">
        <v>212</v>
      </c>
      <c r="B183" s="495">
        <v>4823421</v>
      </c>
      <c r="C183" s="496">
        <v>4130349</v>
      </c>
      <c r="D183" s="496">
        <v>3743484</v>
      </c>
      <c r="E183" s="496">
        <v>33917</v>
      </c>
      <c r="F183" s="496">
        <v>18556</v>
      </c>
      <c r="G183" s="496">
        <v>841451</v>
      </c>
      <c r="H183" s="496">
        <v>3479626</v>
      </c>
      <c r="I183" s="496">
        <v>6799170</v>
      </c>
      <c r="J183" s="496">
        <v>6099553</v>
      </c>
      <c r="K183" s="496">
        <v>7665113</v>
      </c>
      <c r="L183" s="497">
        <v>8881970</v>
      </c>
      <c r="M183" s="463"/>
      <c r="O183" s="58">
        <f t="shared" si="57"/>
        <v>1.2596546658841382E-3</v>
      </c>
      <c r="P183" s="59">
        <f t="shared" si="58"/>
        <v>6.8946007072196954E-4</v>
      </c>
      <c r="Q183" s="59">
        <f t="shared" si="59"/>
        <v>3.4720041483154204E-4</v>
      </c>
      <c r="R183" s="59">
        <f t="shared" si="60"/>
        <v>3.600727226638443E-6</v>
      </c>
      <c r="S183" s="59">
        <f t="shared" si="61"/>
        <v>1.567737270370706E-6</v>
      </c>
      <c r="T183" s="59">
        <f t="shared" si="62"/>
        <v>5.9980756836003758E-5</v>
      </c>
      <c r="U183" s="59">
        <f t="shared" si="63"/>
        <v>2.3330233544254398E-4</v>
      </c>
      <c r="V183" s="59">
        <f t="shared" si="64"/>
        <v>3.3854328766385044E-4</v>
      </c>
      <c r="W183" s="59">
        <f t="shared" si="65"/>
        <v>2.6739529454515869E-4</v>
      </c>
      <c r="X183" s="59">
        <f t="shared" si="66"/>
        <v>2.7738410724791144E-4</v>
      </c>
      <c r="Y183" s="60">
        <f t="shared" si="67"/>
        <v>3.2523122074056172E-4</v>
      </c>
      <c r="Z183" s="60">
        <f t="shared" si="68"/>
        <v>3.4575641985551718E-4</v>
      </c>
      <c r="AB183" s="68"/>
      <c r="AC183" s="59">
        <f t="shared" si="69"/>
        <v>-0.14368888803195901</v>
      </c>
      <c r="AD183" s="59">
        <f t="shared" si="69"/>
        <v>-9.3663997884924521E-2</v>
      </c>
      <c r="AE183" s="59">
        <f t="shared" si="69"/>
        <v>-0.99093972353027282</v>
      </c>
      <c r="AF183" s="59">
        <f t="shared" si="56"/>
        <v>-0.45289972580122062</v>
      </c>
      <c r="AG183" s="59">
        <f t="shared" si="55"/>
        <v>44.346572537184741</v>
      </c>
      <c r="AH183" s="59">
        <f t="shared" si="55"/>
        <v>3.1352687203414105</v>
      </c>
      <c r="AI183" s="59">
        <f t="shared" si="55"/>
        <v>0.95399448101606321</v>
      </c>
      <c r="AJ183" s="59">
        <f t="shared" si="55"/>
        <v>-0.10289741247828776</v>
      </c>
      <c r="AK183" s="59">
        <f t="shared" si="82"/>
        <v>0.25666798862146134</v>
      </c>
      <c r="AL183" s="60">
        <f t="shared" si="82"/>
        <v>0.1587526498304721</v>
      </c>
      <c r="AM183" s="65">
        <f t="shared" si="70"/>
        <v>4.7067166629267483</v>
      </c>
      <c r="AO183" s="68"/>
      <c r="AP183" s="59">
        <f t="shared" si="71"/>
        <v>-0.21258748324777832</v>
      </c>
      <c r="AQ183" s="59">
        <f t="shared" si="72"/>
        <v>-0.15807152613555464</v>
      </c>
      <c r="AR183" s="59">
        <f t="shared" si="73"/>
        <v>-0.99153166046384977</v>
      </c>
      <c r="AS183" s="59">
        <f t="shared" si="74"/>
        <v>-0.48624258221543859</v>
      </c>
      <c r="AT183" s="59">
        <f t="shared" si="75"/>
        <v>41.983542549111597</v>
      </c>
      <c r="AU183" s="59">
        <f t="shared" si="76"/>
        <v>2.9438884531727321</v>
      </c>
      <c r="AV183" s="59">
        <f t="shared" si="77"/>
        <v>0.87020911276422597</v>
      </c>
      <c r="AW183" s="59">
        <f t="shared" si="78"/>
        <v>-0.15119444836624818</v>
      </c>
      <c r="AX183" s="59">
        <f t="shared" si="79"/>
        <v>0.16714775575504914</v>
      </c>
      <c r="AY183" s="59">
        <f t="shared" si="80"/>
        <v>0.13603200963771767</v>
      </c>
      <c r="AZ183" s="65">
        <f t="shared" si="81"/>
        <v>4.4101192180012454</v>
      </c>
    </row>
    <row r="184" spans="1:52" ht="51">
      <c r="A184" s="515" t="s">
        <v>213</v>
      </c>
      <c r="B184" s="495">
        <v>4257654</v>
      </c>
      <c r="C184" s="496">
        <v>12164406</v>
      </c>
      <c r="D184" s="496">
        <v>57785291</v>
      </c>
      <c r="E184" s="496">
        <v>19626936</v>
      </c>
      <c r="F184" s="496">
        <v>19117932</v>
      </c>
      <c r="G184" s="496">
        <v>16216933</v>
      </c>
      <c r="H184" s="496">
        <v>17084628</v>
      </c>
      <c r="I184" s="496">
        <v>16946384</v>
      </c>
      <c r="J184" s="496">
        <v>14631144</v>
      </c>
      <c r="K184" s="496">
        <v>12674443</v>
      </c>
      <c r="L184" s="497">
        <v>8373450</v>
      </c>
      <c r="M184" s="463"/>
      <c r="O184" s="58">
        <f t="shared" si="57"/>
        <v>1.1119024706365596E-3</v>
      </c>
      <c r="P184" s="59">
        <f t="shared" si="58"/>
        <v>2.0305480774265687E-3</v>
      </c>
      <c r="Q184" s="59">
        <f t="shared" si="59"/>
        <v>5.3594664773140141E-3</v>
      </c>
      <c r="R184" s="59">
        <f t="shared" si="60"/>
        <v>2.0836525291355432E-3</v>
      </c>
      <c r="S184" s="59">
        <f t="shared" si="61"/>
        <v>1.615213113214743E-3</v>
      </c>
      <c r="T184" s="59">
        <f t="shared" si="62"/>
        <v>1.1559840262817026E-3</v>
      </c>
      <c r="U184" s="59">
        <f t="shared" si="63"/>
        <v>1.1454919616553847E-3</v>
      </c>
      <c r="V184" s="59">
        <f t="shared" si="64"/>
        <v>8.437918971542221E-4</v>
      </c>
      <c r="W184" s="59">
        <f t="shared" si="65"/>
        <v>6.414075030436872E-4</v>
      </c>
      <c r="X184" s="59">
        <f t="shared" si="66"/>
        <v>4.5866108646011356E-4</v>
      </c>
      <c r="Y184" s="60">
        <f t="shared" si="67"/>
        <v>3.0661073672958328E-4</v>
      </c>
      <c r="Z184" s="60">
        <f t="shared" si="68"/>
        <v>1.5229754435501926E-3</v>
      </c>
      <c r="AB184" s="68"/>
      <c r="AC184" s="59">
        <f t="shared" si="69"/>
        <v>1.8570677654877543</v>
      </c>
      <c r="AD184" s="59">
        <f t="shared" si="69"/>
        <v>3.7503586282799173</v>
      </c>
      <c r="AE184" s="59">
        <f t="shared" si="69"/>
        <v>-0.66034719804387598</v>
      </c>
      <c r="AF184" s="59">
        <f t="shared" si="56"/>
        <v>-2.5933951178115588E-2</v>
      </c>
      <c r="AG184" s="59">
        <f t="shared" si="55"/>
        <v>-0.15174230141628287</v>
      </c>
      <c r="AH184" s="59">
        <f t="shared" si="55"/>
        <v>5.3505493301353679E-2</v>
      </c>
      <c r="AI184" s="59">
        <f t="shared" si="55"/>
        <v>-8.0917184734722314E-3</v>
      </c>
      <c r="AJ184" s="59">
        <f t="shared" si="55"/>
        <v>-0.13662147629842447</v>
      </c>
      <c r="AK184" s="59">
        <f t="shared" si="82"/>
        <v>-0.13373533880877664</v>
      </c>
      <c r="AL184" s="60">
        <f t="shared" si="82"/>
        <v>-0.33934374867597727</v>
      </c>
      <c r="AM184" s="65">
        <f t="shared" si="70"/>
        <v>0.42051161541740995</v>
      </c>
      <c r="AO184" s="68"/>
      <c r="AP184" s="59">
        <f t="shared" si="71"/>
        <v>1.6271887498737971</v>
      </c>
      <c r="AQ184" s="59">
        <f t="shared" si="72"/>
        <v>3.4127808901810655</v>
      </c>
      <c r="AR184" s="59">
        <f t="shared" si="73"/>
        <v>-0.68253780544338349</v>
      </c>
      <c r="AS184" s="59">
        <f t="shared" si="74"/>
        <v>-8.5298104214588721E-2</v>
      </c>
      <c r="AT184" s="59">
        <f t="shared" si="75"/>
        <v>-0.19594538595422795</v>
      </c>
      <c r="AU184" s="59">
        <f t="shared" si="76"/>
        <v>4.7492512269480258E-3</v>
      </c>
      <c r="AV184" s="59">
        <f t="shared" si="77"/>
        <v>-5.0623773424073648E-2</v>
      </c>
      <c r="AW184" s="59">
        <f t="shared" si="78"/>
        <v>-0.1831029201423261</v>
      </c>
      <c r="AX184" s="59">
        <f t="shared" si="79"/>
        <v>-0.19544472815898262</v>
      </c>
      <c r="AY184" s="59">
        <f t="shared" si="80"/>
        <v>-0.35229779281958562</v>
      </c>
      <c r="AZ184" s="65">
        <f t="shared" si="81"/>
        <v>0.32994683811246417</v>
      </c>
    </row>
    <row r="185" spans="1:52" ht="38.25">
      <c r="A185" s="515" t="s">
        <v>214</v>
      </c>
      <c r="B185" s="495">
        <v>4477678</v>
      </c>
      <c r="C185" s="496">
        <v>11381842</v>
      </c>
      <c r="D185" s="496">
        <v>11434588</v>
      </c>
      <c r="E185" s="496">
        <v>12836778</v>
      </c>
      <c r="F185" s="496">
        <v>11982511</v>
      </c>
      <c r="G185" s="496">
        <v>20498243</v>
      </c>
      <c r="H185" s="496">
        <v>37204291</v>
      </c>
      <c r="I185" s="496">
        <v>52268095</v>
      </c>
      <c r="J185" s="496">
        <v>75273349</v>
      </c>
      <c r="K185" s="496">
        <v>45300199</v>
      </c>
      <c r="L185" s="497">
        <v>41243003</v>
      </c>
      <c r="M185" s="463"/>
      <c r="O185" s="58">
        <f t="shared" si="57"/>
        <v>1.1693625717155429E-3</v>
      </c>
      <c r="P185" s="59">
        <f t="shared" si="58"/>
        <v>1.8999182854200175E-3</v>
      </c>
      <c r="Q185" s="59">
        <f t="shared" si="59"/>
        <v>1.0605344371787812E-3</v>
      </c>
      <c r="R185" s="59">
        <f t="shared" si="60"/>
        <v>1.3627896349002972E-3</v>
      </c>
      <c r="S185" s="59">
        <f t="shared" si="61"/>
        <v>1.0123641456847897E-3</v>
      </c>
      <c r="T185" s="59">
        <f t="shared" si="62"/>
        <v>1.461166638281155E-3</v>
      </c>
      <c r="U185" s="59">
        <f t="shared" si="63"/>
        <v>2.4944772739323193E-3</v>
      </c>
      <c r="V185" s="59">
        <f t="shared" si="64"/>
        <v>2.602525414311815E-3</v>
      </c>
      <c r="W185" s="59">
        <f t="shared" si="65"/>
        <v>3.2998712081451749E-3</v>
      </c>
      <c r="X185" s="59">
        <f t="shared" si="66"/>
        <v>1.639317679696011E-3</v>
      </c>
      <c r="Y185" s="60">
        <f t="shared" si="67"/>
        <v>1.5101956224459945E-3</v>
      </c>
      <c r="Z185" s="60">
        <f t="shared" si="68"/>
        <v>1.7738657192465361E-3</v>
      </c>
      <c r="AB185" s="68"/>
      <c r="AC185" s="59">
        <f t="shared" si="69"/>
        <v>1.5419072117289363</v>
      </c>
      <c r="AD185" s="59">
        <f t="shared" si="69"/>
        <v>4.6342235290210976E-3</v>
      </c>
      <c r="AE185" s="59">
        <f t="shared" si="69"/>
        <v>0.12262706798006184</v>
      </c>
      <c r="AF185" s="59">
        <f t="shared" si="56"/>
        <v>-6.6548397113356583E-2</v>
      </c>
      <c r="AG185" s="59">
        <f t="shared" si="55"/>
        <v>0.71068009034166546</v>
      </c>
      <c r="AH185" s="59">
        <f t="shared" si="55"/>
        <v>0.8149990221113097</v>
      </c>
      <c r="AI185" s="59">
        <f t="shared" si="55"/>
        <v>0.40489426340633661</v>
      </c>
      <c r="AJ185" s="59">
        <f t="shared" si="55"/>
        <v>0.44013951532000539</v>
      </c>
      <c r="AK185" s="59">
        <f t="shared" si="82"/>
        <v>-0.39819073281833117</v>
      </c>
      <c r="AL185" s="60">
        <f t="shared" si="82"/>
        <v>-8.9562432165033123E-2</v>
      </c>
      <c r="AM185" s="65">
        <f t="shared" si="70"/>
        <v>0.34855798323206161</v>
      </c>
      <c r="AO185" s="68"/>
      <c r="AP185" s="59">
        <f t="shared" si="71"/>
        <v>1.3373859418197118</v>
      </c>
      <c r="AQ185" s="59">
        <f t="shared" si="72"/>
        <v>-6.6758733368303735E-2</v>
      </c>
      <c r="AR185" s="59">
        <f t="shared" si="73"/>
        <v>4.9282239442996367E-2</v>
      </c>
      <c r="AS185" s="59">
        <f t="shared" si="74"/>
        <v>-0.12343731534731572</v>
      </c>
      <c r="AT185" s="59">
        <f t="shared" si="75"/>
        <v>0.62153579282806115</v>
      </c>
      <c r="AU185" s="59">
        <f t="shared" si="76"/>
        <v>0.73100085385348601</v>
      </c>
      <c r="AV185" s="59">
        <f t="shared" si="77"/>
        <v>0.34465377431693778</v>
      </c>
      <c r="AW185" s="59">
        <f t="shared" si="78"/>
        <v>0.3626071674898339</v>
      </c>
      <c r="AX185" s="59">
        <f t="shared" si="79"/>
        <v>-0.44106132889229233</v>
      </c>
      <c r="AY185" s="59">
        <f t="shared" si="80"/>
        <v>-0.10741414918140502</v>
      </c>
      <c r="AZ185" s="65">
        <f t="shared" si="81"/>
        <v>0.27077942429617108</v>
      </c>
    </row>
    <row r="186" spans="1:52" ht="38.25">
      <c r="A186" s="515" t="s">
        <v>51</v>
      </c>
      <c r="B186" s="495">
        <v>48172192</v>
      </c>
      <c r="C186" s="496">
        <v>82815496</v>
      </c>
      <c r="D186" s="496">
        <v>145621296</v>
      </c>
      <c r="E186" s="496">
        <v>33521716</v>
      </c>
      <c r="F186" s="496">
        <v>32000089</v>
      </c>
      <c r="G186" s="496">
        <v>43037158</v>
      </c>
      <c r="H186" s="496">
        <v>58795416</v>
      </c>
      <c r="I186" s="496">
        <v>78790801</v>
      </c>
      <c r="J186" s="496">
        <v>98431612</v>
      </c>
      <c r="K186" s="496">
        <v>73470709</v>
      </c>
      <c r="L186" s="497">
        <v>69572721</v>
      </c>
      <c r="M186" s="463"/>
      <c r="O186" s="58">
        <f t="shared" si="57"/>
        <v>1.2580350423209284E-2</v>
      </c>
      <c r="P186" s="59">
        <f t="shared" si="58"/>
        <v>1.3824008026690962E-2</v>
      </c>
      <c r="Q186" s="59">
        <f t="shared" si="59"/>
        <v>1.3506074656524985E-2</v>
      </c>
      <c r="R186" s="59">
        <f t="shared" si="60"/>
        <v>3.5587627291576943E-3</v>
      </c>
      <c r="S186" s="59">
        <f t="shared" si="61"/>
        <v>2.703585480732898E-3</v>
      </c>
      <c r="T186" s="59">
        <f t="shared" si="62"/>
        <v>3.0677975412836561E-3</v>
      </c>
      <c r="U186" s="59">
        <f t="shared" si="63"/>
        <v>3.9421213274403394E-3</v>
      </c>
      <c r="V186" s="59">
        <f t="shared" si="64"/>
        <v>3.9231401491958869E-3</v>
      </c>
      <c r="W186" s="59">
        <f t="shared" si="65"/>
        <v>4.3150948738858034E-3</v>
      </c>
      <c r="X186" s="59">
        <f t="shared" si="66"/>
        <v>2.6587484130809408E-3</v>
      </c>
      <c r="Y186" s="60">
        <f t="shared" si="67"/>
        <v>2.5475453059481752E-3</v>
      </c>
      <c r="Z186" s="60">
        <f t="shared" si="68"/>
        <v>6.0570208115591486E-3</v>
      </c>
      <c r="AB186" s="68"/>
      <c r="AC186" s="59">
        <f t="shared" si="69"/>
        <v>0.71915564896859996</v>
      </c>
      <c r="AD186" s="59">
        <f t="shared" si="69"/>
        <v>0.75838222353942064</v>
      </c>
      <c r="AE186" s="59">
        <f t="shared" si="69"/>
        <v>-0.76980210367033131</v>
      </c>
      <c r="AF186" s="59">
        <f t="shared" si="56"/>
        <v>-4.5392276457446257E-2</v>
      </c>
      <c r="AG186" s="59">
        <f t="shared" si="55"/>
        <v>0.34490744697616305</v>
      </c>
      <c r="AH186" s="59">
        <f t="shared" si="55"/>
        <v>0.36615470752041768</v>
      </c>
      <c r="AI186" s="59">
        <f t="shared" si="55"/>
        <v>0.3400840807045229</v>
      </c>
      <c r="AJ186" s="59">
        <f t="shared" si="55"/>
        <v>0.24927797091439641</v>
      </c>
      <c r="AK186" s="59">
        <f t="shared" si="82"/>
        <v>-0.2535862462559284</v>
      </c>
      <c r="AL186" s="60">
        <f t="shared" si="82"/>
        <v>-5.3054993657404292E-2</v>
      </c>
      <c r="AM186" s="65">
        <f t="shared" si="70"/>
        <v>0.16561264585824104</v>
      </c>
      <c r="AO186" s="68"/>
      <c r="AP186" s="59">
        <f t="shared" si="71"/>
        <v>0.58083278066078181</v>
      </c>
      <c r="AQ186" s="59">
        <f t="shared" si="72"/>
        <v>0.63342519604219283</v>
      </c>
      <c r="AR186" s="59">
        <f t="shared" si="73"/>
        <v>-0.78484167087609247</v>
      </c>
      <c r="AS186" s="59">
        <f t="shared" si="74"/>
        <v>-0.10357054789881326</v>
      </c>
      <c r="AT186" s="59">
        <f t="shared" si="75"/>
        <v>0.27482372398295274</v>
      </c>
      <c r="AU186" s="59">
        <f t="shared" si="76"/>
        <v>0.3029290574839627</v>
      </c>
      <c r="AV186" s="59">
        <f t="shared" si="77"/>
        <v>0.28262258872944379</v>
      </c>
      <c r="AW186" s="59">
        <f t="shared" si="78"/>
        <v>0.18202097730570199</v>
      </c>
      <c r="AX186" s="59">
        <f t="shared" si="79"/>
        <v>-0.30675791423416776</v>
      </c>
      <c r="AY186" s="59">
        <f t="shared" si="80"/>
        <v>-7.162254280137681E-2</v>
      </c>
      <c r="AZ186" s="65">
        <f t="shared" si="81"/>
        <v>9.8986164839458546E-2</v>
      </c>
    </row>
    <row r="187" spans="1:52" ht="38.25">
      <c r="A187" s="515" t="s">
        <v>52</v>
      </c>
      <c r="B187" s="495">
        <v>3359297</v>
      </c>
      <c r="C187" s="496">
        <v>1954308</v>
      </c>
      <c r="D187" s="496">
        <v>19045085</v>
      </c>
      <c r="E187" s="496">
        <v>462439</v>
      </c>
      <c r="F187" s="496">
        <v>1398203</v>
      </c>
      <c r="G187" s="496">
        <v>2319714</v>
      </c>
      <c r="H187" s="496">
        <v>8425017</v>
      </c>
      <c r="I187" s="496">
        <v>13530975</v>
      </c>
      <c r="J187" s="496">
        <v>13234455</v>
      </c>
      <c r="K187" s="496">
        <v>28449159</v>
      </c>
      <c r="L187" s="497">
        <v>52423225</v>
      </c>
      <c r="M187" s="463"/>
      <c r="O187" s="58">
        <f t="shared" si="57"/>
        <v>8.7729313699562775E-4</v>
      </c>
      <c r="P187" s="59">
        <f t="shared" si="58"/>
        <v>3.2622360287048649E-4</v>
      </c>
      <c r="Q187" s="59">
        <f t="shared" si="59"/>
        <v>1.766392326640632E-3</v>
      </c>
      <c r="R187" s="59">
        <f t="shared" si="60"/>
        <v>4.9093867321975849E-5</v>
      </c>
      <c r="S187" s="59">
        <f t="shared" si="61"/>
        <v>1.1812971301164757E-4</v>
      </c>
      <c r="T187" s="59">
        <f t="shared" si="62"/>
        <v>1.6535508468475718E-4</v>
      </c>
      <c r="U187" s="59">
        <f t="shared" si="63"/>
        <v>5.6488143905210949E-4</v>
      </c>
      <c r="V187" s="59">
        <f t="shared" si="64"/>
        <v>6.7373234700667417E-4</v>
      </c>
      <c r="W187" s="59">
        <f t="shared" si="65"/>
        <v>5.8017874307668903E-4</v>
      </c>
      <c r="X187" s="59">
        <f t="shared" si="66"/>
        <v>1.0295144469714777E-3</v>
      </c>
      <c r="Y187" s="60">
        <f t="shared" si="67"/>
        <v>1.9195819690797351E-3</v>
      </c>
      <c r="Z187" s="60">
        <f t="shared" si="68"/>
        <v>7.3367060697380115E-4</v>
      </c>
      <c r="AB187" s="68"/>
      <c r="AC187" s="59">
        <f t="shared" si="69"/>
        <v>-0.41823899464679659</v>
      </c>
      <c r="AD187" s="59">
        <f t="shared" si="69"/>
        <v>8.7451809029078316</v>
      </c>
      <c r="AE187" s="59">
        <f t="shared" si="69"/>
        <v>-0.97571872217950195</v>
      </c>
      <c r="AF187" s="59">
        <f t="shared" si="56"/>
        <v>2.0235404020854642</v>
      </c>
      <c r="AG187" s="59">
        <f t="shared" si="55"/>
        <v>0.65906810384472059</v>
      </c>
      <c r="AH187" s="59">
        <f t="shared" si="55"/>
        <v>2.6319205729671848</v>
      </c>
      <c r="AI187" s="59">
        <f t="shared" si="55"/>
        <v>0.6060472044151366</v>
      </c>
      <c r="AJ187" s="59">
        <f t="shared" si="55"/>
        <v>-2.1914163613486859E-2</v>
      </c>
      <c r="AK187" s="59">
        <f t="shared" si="82"/>
        <v>1.1496282997675387</v>
      </c>
      <c r="AL187" s="60">
        <f t="shared" si="82"/>
        <v>0.84269858381402418</v>
      </c>
      <c r="AM187" s="65">
        <f t="shared" si="70"/>
        <v>1.5242212189362117</v>
      </c>
      <c r="AO187" s="68"/>
      <c r="AP187" s="59">
        <f t="shared" si="71"/>
        <v>-0.46504735139935316</v>
      </c>
      <c r="AQ187" s="59">
        <f t="shared" si="72"/>
        <v>8.0526529520741583</v>
      </c>
      <c r="AR187" s="59">
        <f t="shared" si="73"/>
        <v>-0.97730509597112059</v>
      </c>
      <c r="AS187" s="59">
        <f t="shared" si="74"/>
        <v>1.8392716706596528</v>
      </c>
      <c r="AT187" s="59">
        <f t="shared" si="75"/>
        <v>0.57261332981685054</v>
      </c>
      <c r="AU187" s="59">
        <f t="shared" si="76"/>
        <v>2.4638352618069241</v>
      </c>
      <c r="AV187" s="59">
        <f t="shared" si="77"/>
        <v>0.53718147436364538</v>
      </c>
      <c r="AW187" s="59">
        <f t="shared" si="78"/>
        <v>-7.4571069744996499E-2</v>
      </c>
      <c r="AX187" s="59">
        <f t="shared" si="79"/>
        <v>0.99649698130169839</v>
      </c>
      <c r="AY187" s="59">
        <f t="shared" si="80"/>
        <v>0.80656723903335692</v>
      </c>
      <c r="AZ187" s="65">
        <f t="shared" si="81"/>
        <v>1.3751695391940817</v>
      </c>
    </row>
    <row r="188" spans="1:52" ht="38.25">
      <c r="A188" s="515" t="s">
        <v>215</v>
      </c>
      <c r="B188" s="495">
        <v>255520</v>
      </c>
      <c r="C188" s="496">
        <v>430669</v>
      </c>
      <c r="D188" s="496">
        <v>4203639</v>
      </c>
      <c r="E188" s="496">
        <v>366453</v>
      </c>
      <c r="F188" s="496">
        <v>418275</v>
      </c>
      <c r="G188" s="496">
        <v>786348</v>
      </c>
      <c r="H188" s="496">
        <v>1783026</v>
      </c>
      <c r="I188" s="496">
        <v>3848683</v>
      </c>
      <c r="J188" s="496">
        <v>12415744</v>
      </c>
      <c r="K188" s="496">
        <v>4704680</v>
      </c>
      <c r="L188" s="497">
        <v>6884936</v>
      </c>
      <c r="M188" s="463"/>
      <c r="O188" s="58">
        <f t="shared" si="57"/>
        <v>6.6730015942360204E-5</v>
      </c>
      <c r="P188" s="59">
        <f t="shared" si="58"/>
        <v>7.1889585891594127E-5</v>
      </c>
      <c r="Q188" s="59">
        <f t="shared" si="59"/>
        <v>3.8987884136864177E-4</v>
      </c>
      <c r="R188" s="59">
        <f t="shared" si="60"/>
        <v>3.890371478560419E-5</v>
      </c>
      <c r="S188" s="59">
        <f t="shared" si="61"/>
        <v>3.5338720993980765E-5</v>
      </c>
      <c r="T188" s="59">
        <f t="shared" si="62"/>
        <v>5.6052875540557777E-5</v>
      </c>
      <c r="U188" s="59">
        <f t="shared" si="63"/>
        <v>1.195485175575701E-4</v>
      </c>
      <c r="V188" s="59">
        <f t="shared" si="64"/>
        <v>1.9163306638839313E-4</v>
      </c>
      <c r="W188" s="59">
        <f t="shared" si="65"/>
        <v>5.442876754865949E-4</v>
      </c>
      <c r="X188" s="59">
        <f t="shared" si="66"/>
        <v>1.702523448365476E-4</v>
      </c>
      <c r="Y188" s="60">
        <f t="shared" si="67"/>
        <v>2.5210579860105814E-4</v>
      </c>
      <c r="Z188" s="60">
        <f t="shared" si="68"/>
        <v>1.7605646885390027E-4</v>
      </c>
      <c r="AB188" s="68"/>
      <c r="AC188" s="59">
        <f t="shared" si="69"/>
        <v>0.68546102066374459</v>
      </c>
      <c r="AD188" s="59">
        <f t="shared" si="69"/>
        <v>8.7607187886752929</v>
      </c>
      <c r="AE188" s="59">
        <f t="shared" si="69"/>
        <v>-0.91282481678374383</v>
      </c>
      <c r="AF188" s="59">
        <f t="shared" si="56"/>
        <v>0.1414151337279268</v>
      </c>
      <c r="AG188" s="59">
        <f t="shared" si="55"/>
        <v>0.87997848305540605</v>
      </c>
      <c r="AH188" s="59">
        <f t="shared" si="55"/>
        <v>1.2674769949182805</v>
      </c>
      <c r="AI188" s="59">
        <f t="shared" si="55"/>
        <v>1.1585119902906631</v>
      </c>
      <c r="AJ188" s="59">
        <f t="shared" si="55"/>
        <v>2.225972105263021</v>
      </c>
      <c r="AK188" s="59">
        <f t="shared" si="82"/>
        <v>-0.6210714396173117</v>
      </c>
      <c r="AL188" s="60">
        <f t="shared" si="82"/>
        <v>0.46342280452655649</v>
      </c>
      <c r="AM188" s="65">
        <f t="shared" si="70"/>
        <v>1.4049061064719837</v>
      </c>
      <c r="AO188" s="68"/>
      <c r="AP188" s="59">
        <f t="shared" si="71"/>
        <v>0.54984921440344348</v>
      </c>
      <c r="AQ188" s="59">
        <f t="shared" si="72"/>
        <v>8.0670866592431896</v>
      </c>
      <c r="AR188" s="59">
        <f t="shared" si="73"/>
        <v>-0.91852025122323944</v>
      </c>
      <c r="AS188" s="59">
        <f t="shared" si="74"/>
        <v>7.1851942649945322E-2</v>
      </c>
      <c r="AT188" s="59">
        <f t="shared" si="75"/>
        <v>0.7820119712810194</v>
      </c>
      <c r="AU188" s="59">
        <f t="shared" si="76"/>
        <v>1.1625381427097921</v>
      </c>
      <c r="AV188" s="59">
        <f t="shared" si="77"/>
        <v>1.0659571116870818</v>
      </c>
      <c r="AW188" s="59">
        <f t="shared" si="78"/>
        <v>2.052296437944007</v>
      </c>
      <c r="AX188" s="59">
        <f t="shared" si="79"/>
        <v>-0.64806486450943779</v>
      </c>
      <c r="AY188" s="59">
        <f t="shared" si="80"/>
        <v>0.4347282397319181</v>
      </c>
      <c r="AZ188" s="65">
        <f t="shared" si="81"/>
        <v>1.2619734603917716</v>
      </c>
    </row>
    <row r="189" spans="1:52" ht="38.25">
      <c r="A189" s="515" t="s">
        <v>216</v>
      </c>
      <c r="B189" s="495">
        <v>77480</v>
      </c>
      <c r="C189" s="496">
        <v>113156</v>
      </c>
      <c r="D189" s="496">
        <v>19355</v>
      </c>
      <c r="E189" s="496">
        <v>5811276</v>
      </c>
      <c r="F189" s="496">
        <v>14030550</v>
      </c>
      <c r="G189" s="496">
        <v>509257</v>
      </c>
      <c r="H189" s="496">
        <v>347481</v>
      </c>
      <c r="I189" s="496">
        <v>23048940</v>
      </c>
      <c r="J189" s="496">
        <v>5424780</v>
      </c>
      <c r="K189" s="496">
        <v>831764</v>
      </c>
      <c r="L189" s="497">
        <v>7312952</v>
      </c>
      <c r="M189" s="463"/>
      <c r="O189" s="58">
        <f t="shared" si="57"/>
        <v>2.0234195504125191E-5</v>
      </c>
      <c r="P189" s="59">
        <f t="shared" si="58"/>
        <v>1.8888608144884412E-5</v>
      </c>
      <c r="Q189" s="59">
        <f t="shared" si="59"/>
        <v>1.7951363032577397E-6</v>
      </c>
      <c r="R189" s="59">
        <f t="shared" si="60"/>
        <v>6.1694193810509607E-4</v>
      </c>
      <c r="S189" s="59">
        <f t="shared" si="61"/>
        <v>1.1853964302004586E-3</v>
      </c>
      <c r="T189" s="59">
        <f t="shared" si="62"/>
        <v>3.6301127794764954E-5</v>
      </c>
      <c r="U189" s="59">
        <f t="shared" si="63"/>
        <v>2.3297943176051285E-5</v>
      </c>
      <c r="V189" s="59">
        <f t="shared" si="64"/>
        <v>1.1476494814465338E-3</v>
      </c>
      <c r="W189" s="59">
        <f t="shared" si="65"/>
        <v>2.3781425392035874E-4</v>
      </c>
      <c r="X189" s="59">
        <f t="shared" si="66"/>
        <v>3.0099766902451639E-5</v>
      </c>
      <c r="Y189" s="60">
        <f t="shared" si="67"/>
        <v>2.677784665087962E-4</v>
      </c>
      <c r="Z189" s="60">
        <f t="shared" si="68"/>
        <v>3.2601794072788893E-4</v>
      </c>
      <c r="AB189" s="68"/>
      <c r="AC189" s="59">
        <f t="shared" si="69"/>
        <v>0.4604543107898813</v>
      </c>
      <c r="AD189" s="59">
        <f t="shared" si="69"/>
        <v>-0.8289529499098589</v>
      </c>
      <c r="AE189" s="59">
        <f t="shared" si="69"/>
        <v>299.2467579436838</v>
      </c>
      <c r="AF189" s="59">
        <f t="shared" si="56"/>
        <v>1.4143664833678526</v>
      </c>
      <c r="AG189" s="59">
        <f t="shared" si="55"/>
        <v>-0.96370370370370373</v>
      </c>
      <c r="AH189" s="59">
        <f t="shared" si="55"/>
        <v>-0.31767064566613712</v>
      </c>
      <c r="AI189" s="59">
        <f t="shared" si="55"/>
        <v>65.331511650996745</v>
      </c>
      <c r="AJ189" s="59">
        <f t="shared" si="55"/>
        <v>-0.76464080343824925</v>
      </c>
      <c r="AK189" s="59">
        <f t="shared" si="82"/>
        <v>-0.84667322914477638</v>
      </c>
      <c r="AL189" s="60">
        <f t="shared" si="82"/>
        <v>7.7920996821213713</v>
      </c>
      <c r="AM189" s="65">
        <f t="shared" si="70"/>
        <v>37.0523548739097</v>
      </c>
      <c r="AO189" s="68"/>
      <c r="AP189" s="59">
        <f t="shared" si="71"/>
        <v>0.34294649268035071</v>
      </c>
      <c r="AQ189" s="59">
        <f t="shared" si="72"/>
        <v>-0.84110817455630182</v>
      </c>
      <c r="AR189" s="59">
        <f t="shared" si="73"/>
        <v>279.63067384211962</v>
      </c>
      <c r="AS189" s="59">
        <f t="shared" si="74"/>
        <v>1.2672236673564212</v>
      </c>
      <c r="AT189" s="59">
        <f t="shared" si="75"/>
        <v>-0.96559511978666801</v>
      </c>
      <c r="AU189" s="59">
        <f t="shared" si="76"/>
        <v>-0.34924885326534372</v>
      </c>
      <c r="AV189" s="59">
        <f t="shared" si="77"/>
        <v>62.487281442378205</v>
      </c>
      <c r="AW189" s="59">
        <f t="shared" si="78"/>
        <v>-0.77731176406306113</v>
      </c>
      <c r="AX189" s="59">
        <f t="shared" si="79"/>
        <v>-0.85759564330340521</v>
      </c>
      <c r="AY189" s="59">
        <f t="shared" si="80"/>
        <v>7.619705570707227</v>
      </c>
      <c r="AZ189" s="65">
        <f t="shared" si="81"/>
        <v>34.755697146026705</v>
      </c>
    </row>
    <row r="190" spans="1:52" ht="38.25">
      <c r="A190" s="515" t="s">
        <v>217</v>
      </c>
      <c r="B190" s="495"/>
      <c r="C190" s="496"/>
      <c r="D190" s="496"/>
      <c r="E190" s="496"/>
      <c r="F190" s="496"/>
      <c r="G190" s="496"/>
      <c r="H190" s="496"/>
      <c r="I190" s="496"/>
      <c r="J190" s="496"/>
      <c r="K190" s="496">
        <v>158058</v>
      </c>
      <c r="L190" s="497"/>
      <c r="M190" s="463"/>
      <c r="O190" s="58">
        <f t="shared" si="57"/>
        <v>0</v>
      </c>
      <c r="P190" s="59">
        <f t="shared" si="58"/>
        <v>0</v>
      </c>
      <c r="Q190" s="59">
        <f t="shared" si="59"/>
        <v>0</v>
      </c>
      <c r="R190" s="59">
        <f t="shared" si="60"/>
        <v>0</v>
      </c>
      <c r="S190" s="59">
        <f t="shared" si="61"/>
        <v>0</v>
      </c>
      <c r="T190" s="59">
        <f t="shared" si="62"/>
        <v>0</v>
      </c>
      <c r="U190" s="59">
        <f t="shared" si="63"/>
        <v>0</v>
      </c>
      <c r="V190" s="59">
        <f t="shared" si="64"/>
        <v>0</v>
      </c>
      <c r="W190" s="59">
        <f t="shared" si="65"/>
        <v>0</v>
      </c>
      <c r="X190" s="59">
        <f t="shared" si="66"/>
        <v>5.7197822424001295E-6</v>
      </c>
      <c r="Y190" s="60">
        <f t="shared" si="67"/>
        <v>0</v>
      </c>
      <c r="Z190" s="60">
        <f t="shared" si="68"/>
        <v>5.1998020385455722E-7</v>
      </c>
      <c r="AB190" s="68"/>
      <c r="AC190" s="59" t="str">
        <f t="shared" si="69"/>
        <v/>
      </c>
      <c r="AD190" s="59" t="str">
        <f t="shared" si="69"/>
        <v/>
      </c>
      <c r="AE190" s="59" t="str">
        <f t="shared" si="69"/>
        <v/>
      </c>
      <c r="AF190" s="59" t="str">
        <f t="shared" si="56"/>
        <v/>
      </c>
      <c r="AG190" s="59" t="str">
        <f t="shared" si="55"/>
        <v/>
      </c>
      <c r="AH190" s="59" t="str">
        <f t="shared" si="55"/>
        <v/>
      </c>
      <c r="AI190" s="59" t="str">
        <f t="shared" si="55"/>
        <v/>
      </c>
      <c r="AJ190" s="59" t="str">
        <f t="shared" si="55"/>
        <v/>
      </c>
      <c r="AK190" s="59" t="str">
        <f t="shared" si="82"/>
        <v/>
      </c>
      <c r="AL190" s="60">
        <f t="shared" si="82"/>
        <v>-1</v>
      </c>
      <c r="AM190" s="65">
        <f t="shared" si="70"/>
        <v>-1</v>
      </c>
      <c r="AO190" s="68"/>
      <c r="AP190" s="59">
        <f t="shared" si="71"/>
        <v>0</v>
      </c>
      <c r="AQ190" s="59">
        <f t="shared" si="72"/>
        <v>0</v>
      </c>
      <c r="AR190" s="59">
        <f t="shared" si="73"/>
        <v>0</v>
      </c>
      <c r="AS190" s="59">
        <f t="shared" si="74"/>
        <v>0</v>
      </c>
      <c r="AT190" s="59">
        <f t="shared" si="75"/>
        <v>0</v>
      </c>
      <c r="AU190" s="59">
        <f t="shared" si="76"/>
        <v>0</v>
      </c>
      <c r="AV190" s="59">
        <f t="shared" si="77"/>
        <v>0</v>
      </c>
      <c r="AW190" s="59">
        <f t="shared" si="78"/>
        <v>0</v>
      </c>
      <c r="AX190" s="59">
        <f t="shared" si="79"/>
        <v>0</v>
      </c>
      <c r="AY190" s="59">
        <f t="shared" si="80"/>
        <v>-1</v>
      </c>
      <c r="AZ190" s="65">
        <f t="shared" si="81"/>
        <v>-0.1</v>
      </c>
    </row>
    <row r="191" spans="1:52" ht="51">
      <c r="A191" s="515" t="s">
        <v>218</v>
      </c>
      <c r="B191" s="495">
        <v>628</v>
      </c>
      <c r="C191" s="496"/>
      <c r="D191" s="496">
        <v>412</v>
      </c>
      <c r="E191" s="496"/>
      <c r="F191" s="496"/>
      <c r="G191" s="496"/>
      <c r="H191" s="496"/>
      <c r="I191" s="496">
        <v>3814</v>
      </c>
      <c r="J191" s="496">
        <v>16884</v>
      </c>
      <c r="K191" s="496">
        <v>67362</v>
      </c>
      <c r="L191" s="497">
        <v>154268</v>
      </c>
      <c r="M191" s="463"/>
      <c r="O191" s="58">
        <f t="shared" si="57"/>
        <v>1.6400457894412259E-7</v>
      </c>
      <c r="P191" s="59">
        <f t="shared" si="58"/>
        <v>0</v>
      </c>
      <c r="Q191" s="59">
        <f t="shared" si="59"/>
        <v>3.8212149674099137E-8</v>
      </c>
      <c r="R191" s="59">
        <f t="shared" si="60"/>
        <v>0</v>
      </c>
      <c r="S191" s="59">
        <f t="shared" si="61"/>
        <v>0</v>
      </c>
      <c r="T191" s="59">
        <f t="shared" si="62"/>
        <v>0</v>
      </c>
      <c r="U191" s="59">
        <f t="shared" si="63"/>
        <v>0</v>
      </c>
      <c r="V191" s="59">
        <f t="shared" si="64"/>
        <v>1.8990613547681932E-7</v>
      </c>
      <c r="W191" s="59">
        <f t="shared" si="65"/>
        <v>7.4016934570458837E-7</v>
      </c>
      <c r="X191" s="59">
        <f t="shared" si="66"/>
        <v>2.437687250329357E-6</v>
      </c>
      <c r="Y191" s="60">
        <f t="shared" si="67"/>
        <v>5.6488335314355916E-6</v>
      </c>
      <c r="Z191" s="60">
        <f t="shared" si="68"/>
        <v>8.3807390832405255E-7</v>
      </c>
      <c r="AB191" s="68"/>
      <c r="AC191" s="59">
        <f t="shared" si="69"/>
        <v>-1</v>
      </c>
      <c r="AD191" s="59" t="str">
        <f t="shared" si="69"/>
        <v/>
      </c>
      <c r="AE191" s="59">
        <f t="shared" si="69"/>
        <v>-1</v>
      </c>
      <c r="AF191" s="59" t="str">
        <f t="shared" si="56"/>
        <v/>
      </c>
      <c r="AG191" s="59" t="str">
        <f t="shared" si="55"/>
        <v/>
      </c>
      <c r="AH191" s="59" t="str">
        <f t="shared" si="55"/>
        <v/>
      </c>
      <c r="AI191" s="59" t="str">
        <f t="shared" si="55"/>
        <v/>
      </c>
      <c r="AJ191" s="59">
        <f t="shared" ref="AJ191:AL225" si="83">+IF(I191=0,"",J191/I191-1)</f>
        <v>3.4268484530676453</v>
      </c>
      <c r="AK191" s="59">
        <f t="shared" si="82"/>
        <v>2.9896943852167732</v>
      </c>
      <c r="AL191" s="60">
        <f t="shared" si="82"/>
        <v>1.2901339033876664</v>
      </c>
      <c r="AM191" s="65">
        <f t="shared" si="70"/>
        <v>1.1413353483344171</v>
      </c>
      <c r="AO191" s="68"/>
      <c r="AP191" s="59">
        <f t="shared" si="71"/>
        <v>-1</v>
      </c>
      <c r="AQ191" s="59">
        <f t="shared" si="72"/>
        <v>0</v>
      </c>
      <c r="AR191" s="59">
        <f t="shared" si="73"/>
        <v>-1</v>
      </c>
      <c r="AS191" s="59">
        <f t="shared" si="74"/>
        <v>0</v>
      </c>
      <c r="AT191" s="59">
        <f t="shared" si="75"/>
        <v>0</v>
      </c>
      <c r="AU191" s="59">
        <f t="shared" si="76"/>
        <v>0</v>
      </c>
      <c r="AV191" s="59">
        <f t="shared" si="77"/>
        <v>0</v>
      </c>
      <c r="AW191" s="59">
        <f t="shared" si="78"/>
        <v>3.1885215754259111</v>
      </c>
      <c r="AX191" s="59">
        <f t="shared" si="79"/>
        <v>2.705483779341296</v>
      </c>
      <c r="AY191" s="59">
        <f t="shared" si="80"/>
        <v>1.2452293170467317</v>
      </c>
      <c r="AZ191" s="65">
        <f t="shared" si="81"/>
        <v>0.51392346718139392</v>
      </c>
    </row>
    <row r="192" spans="1:52" ht="51">
      <c r="A192" s="515" t="s">
        <v>219</v>
      </c>
      <c r="B192" s="495">
        <v>230557</v>
      </c>
      <c r="C192" s="496"/>
      <c r="D192" s="496"/>
      <c r="E192" s="496">
        <v>1701587</v>
      </c>
      <c r="F192" s="496">
        <v>1481901</v>
      </c>
      <c r="G192" s="496">
        <v>213266</v>
      </c>
      <c r="H192" s="496">
        <v>5000</v>
      </c>
      <c r="I192" s="496">
        <v>687755</v>
      </c>
      <c r="J192" s="496">
        <v>1904054</v>
      </c>
      <c r="K192" s="496">
        <v>1515231</v>
      </c>
      <c r="L192" s="497">
        <v>2874978</v>
      </c>
      <c r="M192" s="463"/>
      <c r="O192" s="58">
        <f t="shared" si="57"/>
        <v>6.0210833929331326E-5</v>
      </c>
      <c r="P192" s="59">
        <f t="shared" si="58"/>
        <v>0</v>
      </c>
      <c r="Q192" s="59">
        <f t="shared" si="59"/>
        <v>0</v>
      </c>
      <c r="R192" s="59">
        <f t="shared" si="60"/>
        <v>1.8064541791414418E-4</v>
      </c>
      <c r="S192" s="59">
        <f t="shared" si="61"/>
        <v>1.2520109014332937E-4</v>
      </c>
      <c r="T192" s="59">
        <f t="shared" si="62"/>
        <v>1.5202140216586798E-5</v>
      </c>
      <c r="U192" s="59">
        <f t="shared" si="63"/>
        <v>3.3524053367020477E-7</v>
      </c>
      <c r="V192" s="59">
        <f t="shared" si="64"/>
        <v>3.4244597326916587E-5</v>
      </c>
      <c r="W192" s="59">
        <f t="shared" si="65"/>
        <v>8.3470883876226264E-5</v>
      </c>
      <c r="X192" s="59">
        <f t="shared" si="66"/>
        <v>5.4832981354529289E-5</v>
      </c>
      <c r="Y192" s="60">
        <f t="shared" si="67"/>
        <v>1.0527310996797543E-4</v>
      </c>
      <c r="Z192" s="60">
        <f t="shared" si="68"/>
        <v>5.994693593297359E-5</v>
      </c>
      <c r="AB192" s="68"/>
      <c r="AC192" s="59">
        <f t="shared" si="69"/>
        <v>-1</v>
      </c>
      <c r="AD192" s="59" t="str">
        <f t="shared" si="69"/>
        <v/>
      </c>
      <c r="AE192" s="59" t="str">
        <f t="shared" si="69"/>
        <v/>
      </c>
      <c r="AF192" s="59">
        <f t="shared" si="56"/>
        <v>-0.12910653407671779</v>
      </c>
      <c r="AG192" s="59">
        <f t="shared" si="56"/>
        <v>-0.85608620278952507</v>
      </c>
      <c r="AH192" s="59">
        <f t="shared" si="56"/>
        <v>-0.97655510020350178</v>
      </c>
      <c r="AI192" s="59">
        <f t="shared" si="56"/>
        <v>136.55099999999999</v>
      </c>
      <c r="AJ192" s="59">
        <f t="shared" si="83"/>
        <v>1.7685062267813394</v>
      </c>
      <c r="AK192" s="59">
        <f t="shared" si="82"/>
        <v>-0.20420796889163861</v>
      </c>
      <c r="AL192" s="60">
        <f t="shared" si="82"/>
        <v>0.89738594313342324</v>
      </c>
      <c r="AM192" s="65">
        <f t="shared" si="70"/>
        <v>17.006367045494173</v>
      </c>
      <c r="AO192" s="68"/>
      <c r="AP192" s="59">
        <f t="shared" si="71"/>
        <v>-1</v>
      </c>
      <c r="AQ192" s="59">
        <f t="shared" si="72"/>
        <v>0</v>
      </c>
      <c r="AR192" s="59">
        <f t="shared" si="73"/>
        <v>0</v>
      </c>
      <c r="AS192" s="59">
        <f t="shared" si="74"/>
        <v>-0.18218286606884948</v>
      </c>
      <c r="AT192" s="59">
        <f t="shared" si="75"/>
        <v>-0.86358561453066529</v>
      </c>
      <c r="AU192" s="59">
        <f t="shared" si="76"/>
        <v>-0.97764013034065478</v>
      </c>
      <c r="AV192" s="59">
        <f t="shared" si="77"/>
        <v>130.65294793261867</v>
      </c>
      <c r="AW192" s="59">
        <f t="shared" si="78"/>
        <v>1.6194590091601282</v>
      </c>
      <c r="AX192" s="59">
        <f t="shared" si="79"/>
        <v>-0.26089715695331905</v>
      </c>
      <c r="AY192" s="59">
        <f t="shared" si="80"/>
        <v>0.86018229718963068</v>
      </c>
      <c r="AZ192" s="65">
        <f t="shared" si="81"/>
        <v>12.984828347107495</v>
      </c>
    </row>
    <row r="193" spans="1:52" ht="25.5">
      <c r="A193" s="515" t="s">
        <v>220</v>
      </c>
      <c r="B193" s="495">
        <v>678907</v>
      </c>
      <c r="C193" s="496">
        <v>87912</v>
      </c>
      <c r="D193" s="496">
        <v>720049</v>
      </c>
      <c r="E193" s="496">
        <v>1451633</v>
      </c>
      <c r="F193" s="496">
        <v>1484048</v>
      </c>
      <c r="G193" s="496">
        <v>923017</v>
      </c>
      <c r="H193" s="496">
        <v>1183379</v>
      </c>
      <c r="I193" s="496">
        <v>790805</v>
      </c>
      <c r="J193" s="496">
        <v>767821</v>
      </c>
      <c r="K193" s="496">
        <v>17750410</v>
      </c>
      <c r="L193" s="497">
        <v>2404981</v>
      </c>
      <c r="M193" s="463"/>
      <c r="O193" s="58">
        <f t="shared" si="57"/>
        <v>1.7729913483633349E-4</v>
      </c>
      <c r="P193" s="59">
        <f t="shared" si="58"/>
        <v>1.4674743886608562E-5</v>
      </c>
      <c r="Q193" s="59">
        <f t="shared" si="59"/>
        <v>6.678305864244031E-5</v>
      </c>
      <c r="R193" s="59">
        <f t="shared" si="60"/>
        <v>1.5410957532172194E-4</v>
      </c>
      <c r="S193" s="59">
        <f t="shared" si="61"/>
        <v>1.2538248332717749E-4</v>
      </c>
      <c r="T193" s="59">
        <f t="shared" si="62"/>
        <v>6.5794987744381648E-5</v>
      </c>
      <c r="U193" s="59">
        <f t="shared" si="63"/>
        <v>7.9343321498822643E-5</v>
      </c>
      <c r="V193" s="59">
        <f t="shared" si="64"/>
        <v>3.9375647998360281E-5</v>
      </c>
      <c r="W193" s="59">
        <f t="shared" si="65"/>
        <v>3.3660125988405756E-5</v>
      </c>
      <c r="X193" s="59">
        <f t="shared" si="66"/>
        <v>6.4234951671741816E-4</v>
      </c>
      <c r="Y193" s="60">
        <f t="shared" si="67"/>
        <v>8.8063223191235378E-5</v>
      </c>
      <c r="Z193" s="60">
        <f t="shared" si="68"/>
        <v>1.3516689265026416E-4</v>
      </c>
      <c r="AB193" s="68"/>
      <c r="AC193" s="59">
        <f t="shared" si="69"/>
        <v>-0.87050951013909117</v>
      </c>
      <c r="AD193" s="59">
        <f t="shared" si="69"/>
        <v>7.1905655655655654</v>
      </c>
      <c r="AE193" s="59">
        <f t="shared" si="69"/>
        <v>1.0160197431008169</v>
      </c>
      <c r="AF193" s="59">
        <f t="shared" si="56"/>
        <v>2.2330024186554054E-2</v>
      </c>
      <c r="AG193" s="59">
        <f t="shared" si="56"/>
        <v>-0.37804100675988916</v>
      </c>
      <c r="AH193" s="59">
        <f t="shared" si="56"/>
        <v>0.28207714484131929</v>
      </c>
      <c r="AI193" s="59">
        <f t="shared" si="56"/>
        <v>-0.33173987370064872</v>
      </c>
      <c r="AJ193" s="59">
        <f t="shared" si="83"/>
        <v>-2.906405498194875E-2</v>
      </c>
      <c r="AK193" s="59">
        <f t="shared" si="82"/>
        <v>22.117901177487983</v>
      </c>
      <c r="AL193" s="60">
        <f t="shared" si="82"/>
        <v>-0.86451124227553056</v>
      </c>
      <c r="AM193" s="65">
        <f t="shared" si="70"/>
        <v>2.8155027967325132</v>
      </c>
      <c r="AO193" s="68"/>
      <c r="AP193" s="59">
        <f t="shared" si="71"/>
        <v>-0.88092828518537114</v>
      </c>
      <c r="AQ193" s="59">
        <f t="shared" si="72"/>
        <v>6.6085142271858475</v>
      </c>
      <c r="AR193" s="59">
        <f t="shared" si="73"/>
        <v>0.88430670445912396</v>
      </c>
      <c r="AS193" s="59">
        <f t="shared" si="74"/>
        <v>-3.9975561849418639E-2</v>
      </c>
      <c r="AT193" s="59">
        <f t="shared" si="75"/>
        <v>-0.41045156548895267</v>
      </c>
      <c r="AU193" s="59">
        <f t="shared" si="76"/>
        <v>0.22274260503169585</v>
      </c>
      <c r="AV193" s="59">
        <f t="shared" si="77"/>
        <v>-0.36039421296003893</v>
      </c>
      <c r="AW193" s="59">
        <f t="shared" si="78"/>
        <v>-8.133603461249761E-2</v>
      </c>
      <c r="AX193" s="59">
        <f t="shared" si="79"/>
        <v>20.471070100759714</v>
      </c>
      <c r="AY193" s="59">
        <f t="shared" si="80"/>
        <v>-0.86716788458385352</v>
      </c>
      <c r="AZ193" s="65">
        <f t="shared" si="81"/>
        <v>2.5546380092756249</v>
      </c>
    </row>
    <row r="194" spans="1:52" ht="51">
      <c r="A194" s="515" t="s">
        <v>53</v>
      </c>
      <c r="B194" s="495">
        <v>4602389</v>
      </c>
      <c r="C194" s="496">
        <v>2586045</v>
      </c>
      <c r="D194" s="496">
        <v>23988540</v>
      </c>
      <c r="E194" s="496">
        <v>9799651</v>
      </c>
      <c r="F194" s="496">
        <v>18812977</v>
      </c>
      <c r="G194" s="496">
        <v>4751602</v>
      </c>
      <c r="H194" s="496">
        <v>11743903</v>
      </c>
      <c r="I194" s="496">
        <v>41910972</v>
      </c>
      <c r="J194" s="496">
        <v>33763738</v>
      </c>
      <c r="K194" s="496">
        <v>53476665</v>
      </c>
      <c r="L194" s="497">
        <v>72055341</v>
      </c>
      <c r="M194" s="463"/>
      <c r="O194" s="58">
        <f t="shared" si="57"/>
        <v>1.2019313217867221E-3</v>
      </c>
      <c r="P194" s="59">
        <f t="shared" si="58"/>
        <v>4.3167654079357358E-4</v>
      </c>
      <c r="Q194" s="59">
        <f t="shared" si="59"/>
        <v>2.2248875751046458E-3</v>
      </c>
      <c r="R194" s="59">
        <f t="shared" si="60"/>
        <v>1.0403594117184493E-3</v>
      </c>
      <c r="S194" s="59">
        <f t="shared" si="61"/>
        <v>1.5894484376765938E-3</v>
      </c>
      <c r="T194" s="59">
        <f t="shared" si="62"/>
        <v>3.3870621598104835E-4</v>
      </c>
      <c r="U194" s="59">
        <f t="shared" si="63"/>
        <v>7.8740646181822379E-4</v>
      </c>
      <c r="V194" s="59">
        <f t="shared" si="64"/>
        <v>2.0868250463023548E-3</v>
      </c>
      <c r="W194" s="59">
        <f t="shared" si="65"/>
        <v>1.4801518516939793E-3</v>
      </c>
      <c r="X194" s="59">
        <f t="shared" si="66"/>
        <v>1.9352065624630233E-3</v>
      </c>
      <c r="Y194" s="60">
        <f t="shared" si="67"/>
        <v>2.6384514374972498E-3</v>
      </c>
      <c r="Z194" s="60">
        <f t="shared" si="68"/>
        <v>1.4322773511668968E-3</v>
      </c>
      <c r="AB194" s="68"/>
      <c r="AC194" s="59">
        <f t="shared" si="69"/>
        <v>-0.43810812167333091</v>
      </c>
      <c r="AD194" s="59">
        <f t="shared" si="69"/>
        <v>8.276149486957884</v>
      </c>
      <c r="AE194" s="59">
        <f t="shared" si="69"/>
        <v>-0.59148614296659985</v>
      </c>
      <c r="AF194" s="59">
        <f t="shared" si="56"/>
        <v>0.91975989757186261</v>
      </c>
      <c r="AG194" s="59">
        <f t="shared" si="56"/>
        <v>-0.74742955354700102</v>
      </c>
      <c r="AH194" s="59">
        <f t="shared" si="56"/>
        <v>1.4715670630663089</v>
      </c>
      <c r="AI194" s="59">
        <f t="shared" si="56"/>
        <v>2.5687430320226587</v>
      </c>
      <c r="AJ194" s="59">
        <f t="shared" si="83"/>
        <v>-0.19439382126475135</v>
      </c>
      <c r="AK194" s="59">
        <f t="shared" si="82"/>
        <v>0.58384906908115441</v>
      </c>
      <c r="AL194" s="60">
        <f t="shared" si="82"/>
        <v>0.34741650400225965</v>
      </c>
      <c r="AM194" s="65">
        <f t="shared" si="70"/>
        <v>1.2196067413250447</v>
      </c>
      <c r="AO194" s="68"/>
      <c r="AP194" s="59">
        <f t="shared" si="71"/>
        <v>-0.48331781303294796</v>
      </c>
      <c r="AQ194" s="59">
        <f t="shared" si="72"/>
        <v>7.6169526121299427</v>
      </c>
      <c r="AR194" s="59">
        <f t="shared" si="73"/>
        <v>-0.61817566404953728</v>
      </c>
      <c r="AS194" s="59">
        <f t="shared" si="74"/>
        <v>0.80276072642676555</v>
      </c>
      <c r="AT194" s="59">
        <f t="shared" si="75"/>
        <v>-0.7605911114261561</v>
      </c>
      <c r="AU194" s="59">
        <f t="shared" si="76"/>
        <v>1.3571829209842718</v>
      </c>
      <c r="AV194" s="59">
        <f t="shared" si="77"/>
        <v>2.4157188285056077</v>
      </c>
      <c r="AW194" s="59">
        <f t="shared" si="78"/>
        <v>-0.23776499315427313</v>
      </c>
      <c r="AX194" s="59">
        <f t="shared" si="79"/>
        <v>0.47102170435697444</v>
      </c>
      <c r="AY194" s="59">
        <f t="shared" si="80"/>
        <v>0.32099657255123493</v>
      </c>
      <c r="AZ194" s="65">
        <f t="shared" si="81"/>
        <v>1.0884783783291883</v>
      </c>
    </row>
    <row r="195" spans="1:52" ht="25.5">
      <c r="A195" s="515" t="s">
        <v>221</v>
      </c>
      <c r="B195" s="495"/>
      <c r="C195" s="496">
        <v>30000000</v>
      </c>
      <c r="D195" s="496">
        <v>100024500</v>
      </c>
      <c r="E195" s="496">
        <v>110016100</v>
      </c>
      <c r="F195" s="496">
        <v>112007700</v>
      </c>
      <c r="G195" s="496">
        <v>112000000</v>
      </c>
      <c r="H195" s="496">
        <v>262000000</v>
      </c>
      <c r="I195" s="496">
        <v>366900000</v>
      </c>
      <c r="J195" s="496">
        <v>296733333</v>
      </c>
      <c r="K195" s="496">
        <v>283233333</v>
      </c>
      <c r="L195" s="497">
        <v>283238270</v>
      </c>
      <c r="M195" s="463"/>
      <c r="O195" s="58">
        <f t="shared" si="57"/>
        <v>0</v>
      </c>
      <c r="P195" s="59">
        <f t="shared" si="58"/>
        <v>5.0077613590665312E-3</v>
      </c>
      <c r="Q195" s="59">
        <f t="shared" si="59"/>
        <v>9.2770659346527399E-3</v>
      </c>
      <c r="R195" s="59">
        <f t="shared" si="60"/>
        <v>1.1679628700609653E-2</v>
      </c>
      <c r="S195" s="59">
        <f t="shared" si="61"/>
        <v>9.4631734133703883E-3</v>
      </c>
      <c r="T195" s="59">
        <f t="shared" si="62"/>
        <v>7.9836434511723446E-3</v>
      </c>
      <c r="U195" s="59">
        <f t="shared" si="63"/>
        <v>1.7566603964318729E-2</v>
      </c>
      <c r="V195" s="59">
        <f t="shared" si="64"/>
        <v>1.8268631648255113E-2</v>
      </c>
      <c r="W195" s="59">
        <f t="shared" si="65"/>
        <v>1.3008346181909011E-2</v>
      </c>
      <c r="X195" s="59">
        <f t="shared" si="66"/>
        <v>1.0249610829880186E-2</v>
      </c>
      <c r="Y195" s="60">
        <f t="shared" si="67"/>
        <v>1.0371339726721079E-2</v>
      </c>
      <c r="Z195" s="60">
        <f t="shared" si="68"/>
        <v>1.0261436837268706E-2</v>
      </c>
      <c r="AB195" s="68"/>
      <c r="AC195" s="59" t="str">
        <f t="shared" si="69"/>
        <v/>
      </c>
      <c r="AD195" s="59">
        <f t="shared" si="69"/>
        <v>2.3341500000000002</v>
      </c>
      <c r="AE195" s="59">
        <f t="shared" si="69"/>
        <v>9.9891526575988987E-2</v>
      </c>
      <c r="AF195" s="59">
        <f t="shared" si="56"/>
        <v>1.8102804953093132E-2</v>
      </c>
      <c r="AG195" s="59">
        <f t="shared" si="56"/>
        <v>-6.874527376243833E-5</v>
      </c>
      <c r="AH195" s="59">
        <f t="shared" si="56"/>
        <v>1.3392857142857144</v>
      </c>
      <c r="AI195" s="59">
        <f t="shared" si="56"/>
        <v>0.40038167938931291</v>
      </c>
      <c r="AJ195" s="59">
        <f t="shared" si="83"/>
        <v>-0.19124193785772692</v>
      </c>
      <c r="AK195" s="59">
        <f t="shared" si="82"/>
        <v>-4.5495394344524098E-2</v>
      </c>
      <c r="AL195" s="60">
        <f t="shared" si="82"/>
        <v>1.7430857970346381E-5</v>
      </c>
      <c r="AM195" s="65">
        <f t="shared" si="70"/>
        <v>0.43944700873178516</v>
      </c>
      <c r="AO195" s="68"/>
      <c r="AP195" s="59">
        <f t="shared" si="71"/>
        <v>0</v>
      </c>
      <c r="AQ195" s="59">
        <f t="shared" si="72"/>
        <v>2.0972131908964236</v>
      </c>
      <c r="AR195" s="59">
        <f t="shared" si="73"/>
        <v>2.8032083910635386E-2</v>
      </c>
      <c r="AS195" s="59">
        <f t="shared" si="74"/>
        <v>-4.3945154518646667E-2</v>
      </c>
      <c r="AT195" s="59">
        <f t="shared" si="75"/>
        <v>-5.2175606029161936E-2</v>
      </c>
      <c r="AU195" s="59">
        <f t="shared" si="76"/>
        <v>1.2310235540102119</v>
      </c>
      <c r="AV195" s="59">
        <f t="shared" si="77"/>
        <v>0.34033468547981727</v>
      </c>
      <c r="AW195" s="59">
        <f t="shared" si="78"/>
        <v>-0.23478279672412417</v>
      </c>
      <c r="AX195" s="59">
        <f t="shared" si="79"/>
        <v>-0.11349066067105418</v>
      </c>
      <c r="AY195" s="59">
        <f t="shared" si="80"/>
        <v>-1.9590754060813453E-2</v>
      </c>
      <c r="AZ195" s="65">
        <f t="shared" si="81"/>
        <v>0.32326185422932874</v>
      </c>
    </row>
    <row r="196" spans="1:52" ht="51">
      <c r="A196" s="515" t="s">
        <v>222</v>
      </c>
      <c r="B196" s="495"/>
      <c r="C196" s="496"/>
      <c r="D196" s="496"/>
      <c r="E196" s="496"/>
      <c r="F196" s="496">
        <v>5062911</v>
      </c>
      <c r="G196" s="496">
        <v>5062911</v>
      </c>
      <c r="H196" s="496"/>
      <c r="I196" s="496">
        <v>104037</v>
      </c>
      <c r="J196" s="496"/>
      <c r="K196" s="496"/>
      <c r="L196" s="497"/>
      <c r="M196" s="463"/>
      <c r="O196" s="58">
        <f t="shared" si="57"/>
        <v>0</v>
      </c>
      <c r="P196" s="59">
        <f t="shared" si="58"/>
        <v>0</v>
      </c>
      <c r="Q196" s="59">
        <f t="shared" si="59"/>
        <v>0</v>
      </c>
      <c r="R196" s="59">
        <f t="shared" si="60"/>
        <v>0</v>
      </c>
      <c r="S196" s="59">
        <f t="shared" si="61"/>
        <v>4.2774920625511005E-4</v>
      </c>
      <c r="T196" s="59">
        <f t="shared" si="62"/>
        <v>3.6089710936623595E-4</v>
      </c>
      <c r="U196" s="59">
        <f t="shared" si="63"/>
        <v>0</v>
      </c>
      <c r="V196" s="59">
        <f t="shared" si="64"/>
        <v>5.1801952324598453E-6</v>
      </c>
      <c r="W196" s="59">
        <f t="shared" si="65"/>
        <v>0</v>
      </c>
      <c r="X196" s="59">
        <f t="shared" si="66"/>
        <v>0</v>
      </c>
      <c r="Y196" s="60">
        <f t="shared" si="67"/>
        <v>0</v>
      </c>
      <c r="Z196" s="60">
        <f t="shared" si="68"/>
        <v>7.2166046441255071E-5</v>
      </c>
      <c r="AB196" s="68"/>
      <c r="AC196" s="59" t="str">
        <f t="shared" si="69"/>
        <v/>
      </c>
      <c r="AD196" s="59" t="str">
        <f t="shared" si="69"/>
        <v/>
      </c>
      <c r="AE196" s="59" t="str">
        <f t="shared" si="69"/>
        <v/>
      </c>
      <c r="AF196" s="59" t="str">
        <f t="shared" si="69"/>
        <v/>
      </c>
      <c r="AG196" s="59">
        <f t="shared" si="69"/>
        <v>0</v>
      </c>
      <c r="AH196" s="59">
        <f t="shared" si="69"/>
        <v>-1</v>
      </c>
      <c r="AI196" s="59" t="str">
        <f t="shared" si="69"/>
        <v/>
      </c>
      <c r="AJ196" s="59">
        <f t="shared" si="83"/>
        <v>-1</v>
      </c>
      <c r="AK196" s="59" t="str">
        <f t="shared" si="82"/>
        <v/>
      </c>
      <c r="AL196" s="60" t="str">
        <f t="shared" si="82"/>
        <v/>
      </c>
      <c r="AM196" s="65">
        <f t="shared" si="70"/>
        <v>-0.66666666666666663</v>
      </c>
      <c r="AO196" s="68"/>
      <c r="AP196" s="59">
        <f t="shared" si="71"/>
        <v>0</v>
      </c>
      <c r="AQ196" s="59">
        <f t="shared" si="72"/>
        <v>0</v>
      </c>
      <c r="AR196" s="59">
        <f t="shared" si="73"/>
        <v>0</v>
      </c>
      <c r="AS196" s="59">
        <f t="shared" si="74"/>
        <v>0</v>
      </c>
      <c r="AT196" s="59">
        <f t="shared" si="75"/>
        <v>-5.2110443102076465E-2</v>
      </c>
      <c r="AU196" s="59">
        <f t="shared" si="76"/>
        <v>-1</v>
      </c>
      <c r="AV196" s="59">
        <f t="shared" si="77"/>
        <v>0</v>
      </c>
      <c r="AW196" s="59">
        <f t="shared" si="78"/>
        <v>-1</v>
      </c>
      <c r="AX196" s="59">
        <f t="shared" si="79"/>
        <v>0</v>
      </c>
      <c r="AY196" s="59">
        <f t="shared" si="80"/>
        <v>0</v>
      </c>
      <c r="AZ196" s="65">
        <f t="shared" si="81"/>
        <v>-0.20521104431020767</v>
      </c>
    </row>
    <row r="197" spans="1:52" ht="38.25">
      <c r="A197" s="515" t="s">
        <v>223</v>
      </c>
      <c r="B197" s="495"/>
      <c r="C197" s="496"/>
      <c r="D197" s="496">
        <v>4462910</v>
      </c>
      <c r="E197" s="496"/>
      <c r="F197" s="496"/>
      <c r="G197" s="496"/>
      <c r="H197" s="496"/>
      <c r="I197" s="496"/>
      <c r="J197" s="496"/>
      <c r="K197" s="496">
        <v>6039</v>
      </c>
      <c r="L197" s="497"/>
      <c r="M197" s="463"/>
      <c r="O197" s="58">
        <f t="shared" ref="O197:O225" si="84">B197/$B$104</f>
        <v>0</v>
      </c>
      <c r="P197" s="59">
        <f t="shared" ref="P197:P225" si="85">C197/$C$104</f>
        <v>0</v>
      </c>
      <c r="Q197" s="59">
        <f t="shared" ref="Q197:Q225" si="86">D197/$D$104</f>
        <v>4.1392569150979072E-4</v>
      </c>
      <c r="R197" s="59">
        <f t="shared" ref="R197:R225" si="87">E197/$E$104</f>
        <v>0</v>
      </c>
      <c r="S197" s="59">
        <f t="shared" ref="S197:S225" si="88">F197/$F$104</f>
        <v>0</v>
      </c>
      <c r="T197" s="59">
        <f t="shared" ref="T197:T225" si="89">G197/$G$104</f>
        <v>0</v>
      </c>
      <c r="U197" s="59">
        <f t="shared" ref="U197:U225" si="90">H197/$H$104</f>
        <v>0</v>
      </c>
      <c r="V197" s="59">
        <f t="shared" ref="V197:V225" si="91">I197/$I$104</f>
        <v>0</v>
      </c>
      <c r="W197" s="59">
        <f t="shared" ref="W197:W225" si="92">J197/$J$104</f>
        <v>0</v>
      </c>
      <c r="X197" s="59">
        <f t="shared" ref="X197:X225" si="93">K197/$K$104</f>
        <v>2.1853854257205823E-7</v>
      </c>
      <c r="Y197" s="60">
        <f t="shared" ref="Y197:Y225" si="94">L197/$L$104</f>
        <v>0</v>
      </c>
      <c r="Z197" s="60">
        <f t="shared" ref="Z197:Z225" si="95">AVERAGE(O197:Y197)</f>
        <v>3.7649475459305707E-5</v>
      </c>
      <c r="AB197" s="68"/>
      <c r="AC197" s="59" t="str">
        <f t="shared" ref="AC197:AI225" si="96">+IF(B197=0,"",C197/B197-1)</f>
        <v/>
      </c>
      <c r="AD197" s="59" t="str">
        <f t="shared" si="96"/>
        <v/>
      </c>
      <c r="AE197" s="59">
        <f t="shared" si="96"/>
        <v>-1</v>
      </c>
      <c r="AF197" s="59" t="str">
        <f t="shared" si="96"/>
        <v/>
      </c>
      <c r="AG197" s="59" t="str">
        <f t="shared" si="96"/>
        <v/>
      </c>
      <c r="AH197" s="59" t="str">
        <f t="shared" si="96"/>
        <v/>
      </c>
      <c r="AI197" s="59" t="str">
        <f t="shared" si="96"/>
        <v/>
      </c>
      <c r="AJ197" s="59" t="str">
        <f t="shared" si="83"/>
        <v/>
      </c>
      <c r="AK197" s="59" t="str">
        <f t="shared" si="82"/>
        <v/>
      </c>
      <c r="AL197" s="60">
        <f t="shared" si="82"/>
        <v>-1</v>
      </c>
      <c r="AM197" s="65">
        <f t="shared" ref="AM197:AM225" si="97">AVERAGE(AB197:AL197)</f>
        <v>-1</v>
      </c>
      <c r="AO197" s="68"/>
      <c r="AP197" s="59">
        <f t="shared" ref="AP197:AP225" si="98">IF(AC197="",,(((AC197+1)/($C$273+1))-1))</f>
        <v>0</v>
      </c>
      <c r="AQ197" s="59">
        <f t="shared" ref="AQ197:AQ225" si="99">IF(AD197="",,(((AD197+1)/($D$273+1))-1))</f>
        <v>0</v>
      </c>
      <c r="AR197" s="59">
        <f t="shared" ref="AR197:AR225" si="100">IF(AE197="",,(((AE197+1)/($E$273+1))-1))</f>
        <v>-1</v>
      </c>
      <c r="AS197" s="59">
        <f t="shared" ref="AS197:AS225" si="101">IF(AF197="",,(((AF197+1)/($F$273+1))-1))</f>
        <v>0</v>
      </c>
      <c r="AT197" s="59">
        <f t="shared" ref="AT197:AT225" si="102">IF(AG197="",,(((AG197+1)/($G$273+1))-1))</f>
        <v>0</v>
      </c>
      <c r="AU197" s="59">
        <f t="shared" ref="AU197:AU225" si="103">IF(AH197="",,(((AH197+1)/($H$273+1))-1))</f>
        <v>0</v>
      </c>
      <c r="AV197" s="59">
        <f t="shared" ref="AV197:AV225" si="104">IF(AI197="",,(((AI197+1)/($I$273+1))-1))</f>
        <v>0</v>
      </c>
      <c r="AW197" s="59">
        <f t="shared" ref="AW197:AW225" si="105">IF(AJ197="",,(((AJ197+1)/($J$273+1))-1))</f>
        <v>0</v>
      </c>
      <c r="AX197" s="59">
        <f t="shared" ref="AX197:AX225" si="106">IF(AK197="",,(((AK197+1)/($K$273+1))-1))</f>
        <v>0</v>
      </c>
      <c r="AY197" s="59">
        <f t="shared" ref="AY197:AY225" si="107">IF(AL197="",,(((AL197+1)/($L$273+1))-1))</f>
        <v>-1</v>
      </c>
      <c r="AZ197" s="65">
        <f t="shared" ref="AZ197:AZ225" si="108">AVERAGE(AO197:AY197)</f>
        <v>-0.2</v>
      </c>
    </row>
    <row r="198" spans="1:52" ht="38.25">
      <c r="A198" s="515" t="s">
        <v>224</v>
      </c>
      <c r="B198" s="495"/>
      <c r="C198" s="496">
        <v>266982</v>
      </c>
      <c r="D198" s="496"/>
      <c r="E198" s="496"/>
      <c r="F198" s="496"/>
      <c r="G198" s="496"/>
      <c r="H198" s="496"/>
      <c r="I198" s="496">
        <v>0</v>
      </c>
      <c r="J198" s="496"/>
      <c r="K198" s="496"/>
      <c r="L198" s="497"/>
      <c r="M198" s="463"/>
      <c r="O198" s="58">
        <f t="shared" si="84"/>
        <v>0</v>
      </c>
      <c r="P198" s="59">
        <f t="shared" si="85"/>
        <v>4.4566071438876685E-5</v>
      </c>
      <c r="Q198" s="59">
        <f t="shared" si="86"/>
        <v>0</v>
      </c>
      <c r="R198" s="59">
        <f t="shared" si="87"/>
        <v>0</v>
      </c>
      <c r="S198" s="59">
        <f t="shared" si="88"/>
        <v>0</v>
      </c>
      <c r="T198" s="59">
        <f t="shared" si="89"/>
        <v>0</v>
      </c>
      <c r="U198" s="59">
        <f t="shared" si="90"/>
        <v>0</v>
      </c>
      <c r="V198" s="59">
        <f t="shared" si="91"/>
        <v>0</v>
      </c>
      <c r="W198" s="59">
        <f t="shared" si="92"/>
        <v>0</v>
      </c>
      <c r="X198" s="59">
        <f t="shared" si="93"/>
        <v>0</v>
      </c>
      <c r="Y198" s="60">
        <f t="shared" si="94"/>
        <v>0</v>
      </c>
      <c r="Z198" s="60">
        <f t="shared" si="95"/>
        <v>4.0514610398978802E-6</v>
      </c>
      <c r="AB198" s="68"/>
      <c r="AC198" s="59" t="str">
        <f t="shared" si="96"/>
        <v/>
      </c>
      <c r="AD198" s="59">
        <f t="shared" si="96"/>
        <v>-1</v>
      </c>
      <c r="AE198" s="59" t="str">
        <f t="shared" si="96"/>
        <v/>
      </c>
      <c r="AF198" s="59" t="str">
        <f t="shared" si="96"/>
        <v/>
      </c>
      <c r="AG198" s="59" t="str">
        <f t="shared" si="96"/>
        <v/>
      </c>
      <c r="AH198" s="59" t="str">
        <f t="shared" si="96"/>
        <v/>
      </c>
      <c r="AI198" s="59" t="str">
        <f t="shared" si="96"/>
        <v/>
      </c>
      <c r="AJ198" s="59" t="str">
        <f t="shared" si="83"/>
        <v/>
      </c>
      <c r="AK198" s="59" t="str">
        <f t="shared" si="82"/>
        <v/>
      </c>
      <c r="AL198" s="60" t="str">
        <f t="shared" si="82"/>
        <v/>
      </c>
      <c r="AM198" s="65">
        <f t="shared" si="97"/>
        <v>-1</v>
      </c>
      <c r="AO198" s="68"/>
      <c r="AP198" s="59">
        <f t="shared" si="98"/>
        <v>0</v>
      </c>
      <c r="AQ198" s="59">
        <f t="shared" si="99"/>
        <v>-1</v>
      </c>
      <c r="AR198" s="59">
        <f t="shared" si="100"/>
        <v>0</v>
      </c>
      <c r="AS198" s="59">
        <f t="shared" si="101"/>
        <v>0</v>
      </c>
      <c r="AT198" s="59">
        <f t="shared" si="102"/>
        <v>0</v>
      </c>
      <c r="AU198" s="59">
        <f t="shared" si="103"/>
        <v>0</v>
      </c>
      <c r="AV198" s="59">
        <f t="shared" si="104"/>
        <v>0</v>
      </c>
      <c r="AW198" s="59">
        <f t="shared" si="105"/>
        <v>0</v>
      </c>
      <c r="AX198" s="59">
        <f t="shared" si="106"/>
        <v>0</v>
      </c>
      <c r="AY198" s="59">
        <f t="shared" si="107"/>
        <v>0</v>
      </c>
      <c r="AZ198" s="65">
        <f t="shared" si="108"/>
        <v>-0.1</v>
      </c>
    </row>
    <row r="199" spans="1:52" ht="38.25">
      <c r="A199" s="515" t="s">
        <v>225</v>
      </c>
      <c r="B199" s="495"/>
      <c r="C199" s="496">
        <v>31786</v>
      </c>
      <c r="D199" s="496"/>
      <c r="E199" s="496"/>
      <c r="F199" s="496"/>
      <c r="G199" s="496"/>
      <c r="H199" s="496"/>
      <c r="I199" s="496">
        <v>0</v>
      </c>
      <c r="J199" s="496"/>
      <c r="K199" s="496"/>
      <c r="L199" s="497"/>
      <c r="M199" s="463"/>
      <c r="O199" s="58">
        <f t="shared" si="84"/>
        <v>0</v>
      </c>
      <c r="P199" s="59">
        <f t="shared" si="85"/>
        <v>5.3058900853096251E-6</v>
      </c>
      <c r="Q199" s="59">
        <f t="shared" si="86"/>
        <v>0</v>
      </c>
      <c r="R199" s="59">
        <f t="shared" si="87"/>
        <v>0</v>
      </c>
      <c r="S199" s="59">
        <f t="shared" si="88"/>
        <v>0</v>
      </c>
      <c r="T199" s="59">
        <f t="shared" si="89"/>
        <v>0</v>
      </c>
      <c r="U199" s="59">
        <f t="shared" si="90"/>
        <v>0</v>
      </c>
      <c r="V199" s="59">
        <f t="shared" si="91"/>
        <v>0</v>
      </c>
      <c r="W199" s="59">
        <f t="shared" si="92"/>
        <v>0</v>
      </c>
      <c r="X199" s="59">
        <f t="shared" si="93"/>
        <v>0</v>
      </c>
      <c r="Y199" s="60">
        <f t="shared" si="94"/>
        <v>0</v>
      </c>
      <c r="Z199" s="60">
        <f t="shared" si="95"/>
        <v>4.8235364411905684E-7</v>
      </c>
      <c r="AB199" s="68"/>
      <c r="AC199" s="59" t="str">
        <f t="shared" si="96"/>
        <v/>
      </c>
      <c r="AD199" s="59">
        <f t="shared" si="96"/>
        <v>-1</v>
      </c>
      <c r="AE199" s="59" t="str">
        <f t="shared" si="96"/>
        <v/>
      </c>
      <c r="AF199" s="59" t="str">
        <f t="shared" si="96"/>
        <v/>
      </c>
      <c r="AG199" s="59" t="str">
        <f t="shared" si="96"/>
        <v/>
      </c>
      <c r="AH199" s="59" t="str">
        <f t="shared" si="96"/>
        <v/>
      </c>
      <c r="AI199" s="59" t="str">
        <f t="shared" si="96"/>
        <v/>
      </c>
      <c r="AJ199" s="59" t="str">
        <f t="shared" si="83"/>
        <v/>
      </c>
      <c r="AK199" s="59" t="str">
        <f t="shared" si="82"/>
        <v/>
      </c>
      <c r="AL199" s="60" t="str">
        <f t="shared" si="82"/>
        <v/>
      </c>
      <c r="AM199" s="65">
        <f t="shared" si="97"/>
        <v>-1</v>
      </c>
      <c r="AO199" s="68"/>
      <c r="AP199" s="59">
        <f t="shared" si="98"/>
        <v>0</v>
      </c>
      <c r="AQ199" s="59">
        <f t="shared" si="99"/>
        <v>-1</v>
      </c>
      <c r="AR199" s="59">
        <f t="shared" si="100"/>
        <v>0</v>
      </c>
      <c r="AS199" s="59">
        <f t="shared" si="101"/>
        <v>0</v>
      </c>
      <c r="AT199" s="59">
        <f t="shared" si="102"/>
        <v>0</v>
      </c>
      <c r="AU199" s="59">
        <f t="shared" si="103"/>
        <v>0</v>
      </c>
      <c r="AV199" s="59">
        <f t="shared" si="104"/>
        <v>0</v>
      </c>
      <c r="AW199" s="59">
        <f t="shared" si="105"/>
        <v>0</v>
      </c>
      <c r="AX199" s="59">
        <f t="shared" si="106"/>
        <v>0</v>
      </c>
      <c r="AY199" s="59">
        <f t="shared" si="107"/>
        <v>0</v>
      </c>
      <c r="AZ199" s="65">
        <f t="shared" si="108"/>
        <v>-0.1</v>
      </c>
    </row>
    <row r="200" spans="1:52" ht="63.75">
      <c r="A200" s="515" t="s">
        <v>226</v>
      </c>
      <c r="B200" s="495"/>
      <c r="C200" s="496">
        <v>30298768</v>
      </c>
      <c r="D200" s="496">
        <v>104487410</v>
      </c>
      <c r="E200" s="496">
        <v>110016100</v>
      </c>
      <c r="F200" s="496">
        <v>117070611</v>
      </c>
      <c r="G200" s="496">
        <v>117062911</v>
      </c>
      <c r="H200" s="496">
        <v>262000000</v>
      </c>
      <c r="I200" s="496">
        <v>367004037</v>
      </c>
      <c r="J200" s="496">
        <v>296733333</v>
      </c>
      <c r="K200" s="496">
        <v>283239372</v>
      </c>
      <c r="L200" s="497">
        <v>283238270</v>
      </c>
      <c r="M200" s="463"/>
      <c r="O200" s="58">
        <f t="shared" si="84"/>
        <v>0</v>
      </c>
      <c r="P200" s="59">
        <f t="shared" si="85"/>
        <v>5.0576333205907169E-3</v>
      </c>
      <c r="Q200" s="59">
        <f t="shared" si="86"/>
        <v>9.690991626162531E-3</v>
      </c>
      <c r="R200" s="59">
        <f t="shared" si="87"/>
        <v>1.1679628700609653E-2</v>
      </c>
      <c r="S200" s="59">
        <f t="shared" si="88"/>
        <v>9.8909226196254984E-3</v>
      </c>
      <c r="T200" s="59">
        <f t="shared" si="89"/>
        <v>8.3445405605385818E-3</v>
      </c>
      <c r="U200" s="59">
        <f t="shared" si="90"/>
        <v>1.7566603964318729E-2</v>
      </c>
      <c r="V200" s="59">
        <f t="shared" si="91"/>
        <v>1.8273811843487576E-2</v>
      </c>
      <c r="W200" s="59">
        <f t="shared" si="92"/>
        <v>1.3008346181909011E-2</v>
      </c>
      <c r="X200" s="59">
        <f t="shared" si="93"/>
        <v>1.024982936842276E-2</v>
      </c>
      <c r="Y200" s="60">
        <f t="shared" si="94"/>
        <v>1.0371339726721079E-2</v>
      </c>
      <c r="Z200" s="60">
        <f t="shared" si="95"/>
        <v>1.0375786173853286E-2</v>
      </c>
      <c r="AB200" s="68"/>
      <c r="AC200" s="59" t="str">
        <f t="shared" si="96"/>
        <v/>
      </c>
      <c r="AD200" s="59">
        <f t="shared" si="96"/>
        <v>2.4485695920045329</v>
      </c>
      <c r="AE200" s="59">
        <f t="shared" si="96"/>
        <v>5.2912499218805475E-2</v>
      </c>
      <c r="AF200" s="59">
        <f t="shared" si="96"/>
        <v>6.412253297471926E-2</v>
      </c>
      <c r="AG200" s="59">
        <f t="shared" si="96"/>
        <v>-6.5772271402919635E-5</v>
      </c>
      <c r="AH200" s="59">
        <f t="shared" si="96"/>
        <v>1.2381128041485319</v>
      </c>
      <c r="AI200" s="59">
        <f t="shared" si="96"/>
        <v>0.40077876717557248</v>
      </c>
      <c r="AJ200" s="59">
        <f t="shared" si="83"/>
        <v>-0.19147120171868848</v>
      </c>
      <c r="AK200" s="59">
        <f t="shared" si="82"/>
        <v>-4.5475042738120641E-2</v>
      </c>
      <c r="AL200" s="60">
        <f t="shared" si="82"/>
        <v>-3.8907020313283525E-6</v>
      </c>
      <c r="AM200" s="65">
        <f t="shared" si="97"/>
        <v>0.44083114312132426</v>
      </c>
      <c r="AO200" s="68"/>
      <c r="AP200" s="59">
        <f t="shared" si="98"/>
        <v>0</v>
      </c>
      <c r="AQ200" s="59">
        <f t="shared" si="99"/>
        <v>2.2035017111050004</v>
      </c>
      <c r="AR200" s="59">
        <f t="shared" si="100"/>
        <v>-1.5877652847176904E-2</v>
      </c>
      <c r="AS200" s="59">
        <f t="shared" si="101"/>
        <v>-7.3008453871792334E-4</v>
      </c>
      <c r="AT200" s="59">
        <f t="shared" si="102"/>
        <v>-5.217278795127267E-2</v>
      </c>
      <c r="AU200" s="59">
        <f t="shared" si="103"/>
        <v>1.1345329269075135</v>
      </c>
      <c r="AV200" s="59">
        <f t="shared" si="104"/>
        <v>0.34071474653098455</v>
      </c>
      <c r="AW200" s="59">
        <f t="shared" si="105"/>
        <v>-0.23499971777716755</v>
      </c>
      <c r="AX200" s="59">
        <f t="shared" si="106"/>
        <v>-0.11347175883544225</v>
      </c>
      <c r="AY200" s="59">
        <f t="shared" si="107"/>
        <v>-1.961165755101113E-2</v>
      </c>
      <c r="AZ200" s="65">
        <f t="shared" si="108"/>
        <v>0.32418857250427102</v>
      </c>
    </row>
    <row r="201" spans="1:52" ht="38.25">
      <c r="A201" s="515" t="s">
        <v>54</v>
      </c>
      <c r="B201" s="495">
        <v>526808352</v>
      </c>
      <c r="C201" s="496">
        <v>616458963</v>
      </c>
      <c r="D201" s="496">
        <v>959196278</v>
      </c>
      <c r="E201" s="496">
        <v>786080721</v>
      </c>
      <c r="F201" s="496">
        <v>761514023</v>
      </c>
      <c r="G201" s="496">
        <v>727213192</v>
      </c>
      <c r="H201" s="496">
        <v>953005692</v>
      </c>
      <c r="I201" s="496">
        <v>1866577190</v>
      </c>
      <c r="J201" s="496">
        <v>2706847071</v>
      </c>
      <c r="K201" s="496">
        <v>2325824272.98</v>
      </c>
      <c r="L201" s="497">
        <v>2418581104.1199999</v>
      </c>
      <c r="M201" s="463"/>
      <c r="O201" s="58">
        <f t="shared" si="84"/>
        <v>0.13757799674204957</v>
      </c>
      <c r="P201" s="59">
        <f t="shared" si="85"/>
        <v>0.10290264581205415</v>
      </c>
      <c r="Q201" s="59">
        <f t="shared" si="86"/>
        <v>8.8963475101395156E-2</v>
      </c>
      <c r="R201" s="59">
        <f t="shared" si="87"/>
        <v>8.3452612390254963E-2</v>
      </c>
      <c r="S201" s="59">
        <f t="shared" si="88"/>
        <v>6.4337891558904667E-2</v>
      </c>
      <c r="T201" s="59">
        <f t="shared" si="89"/>
        <v>5.183759676711551E-2</v>
      </c>
      <c r="U201" s="59">
        <f t="shared" si="90"/>
        <v>6.3897227355364558E-2</v>
      </c>
      <c r="V201" s="59">
        <f t="shared" si="91"/>
        <v>9.2940341038825564E-2</v>
      </c>
      <c r="W201" s="59">
        <f t="shared" si="92"/>
        <v>0.11866413323054083</v>
      </c>
      <c r="X201" s="59">
        <f t="shared" si="93"/>
        <v>8.4166624755053182E-2</v>
      </c>
      <c r="Y201" s="60">
        <f t="shared" si="94"/>
        <v>8.8561218395581523E-2</v>
      </c>
      <c r="Z201" s="60">
        <f t="shared" si="95"/>
        <v>8.8845614831558145E-2</v>
      </c>
      <c r="AB201" s="68"/>
      <c r="AC201" s="59">
        <f t="shared" si="96"/>
        <v>0.17017689765100763</v>
      </c>
      <c r="AD201" s="59">
        <f t="shared" si="96"/>
        <v>0.55597750307995764</v>
      </c>
      <c r="AE201" s="59">
        <f t="shared" si="96"/>
        <v>-0.18047980478089387</v>
      </c>
      <c r="AF201" s="59">
        <f t="shared" si="96"/>
        <v>-3.125213142073735E-2</v>
      </c>
      <c r="AG201" s="59">
        <f t="shared" si="96"/>
        <v>-4.5042940725991021E-2</v>
      </c>
      <c r="AH201" s="59">
        <f t="shared" si="96"/>
        <v>0.3104901045304469</v>
      </c>
      <c r="AI201" s="59">
        <f t="shared" si="96"/>
        <v>0.95862123979842928</v>
      </c>
      <c r="AJ201" s="59">
        <f t="shared" si="83"/>
        <v>0.4501661573395741</v>
      </c>
      <c r="AK201" s="59">
        <f t="shared" si="82"/>
        <v>-0.14076258762532801</v>
      </c>
      <c r="AL201" s="60">
        <f t="shared" si="82"/>
        <v>3.9881272294554515E-2</v>
      </c>
      <c r="AM201" s="65">
        <f t="shared" si="97"/>
        <v>0.20877757101410194</v>
      </c>
      <c r="AO201" s="68"/>
      <c r="AP201" s="59">
        <f t="shared" si="98"/>
        <v>7.6024733472191075E-2</v>
      </c>
      <c r="AQ201" s="59">
        <f t="shared" si="99"/>
        <v>0.44540409018110316</v>
      </c>
      <c r="AR201" s="59">
        <f t="shared" si="100"/>
        <v>-0.2340216887381007</v>
      </c>
      <c r="AS201" s="59">
        <f t="shared" si="101"/>
        <v>-9.0292169612862572E-2</v>
      </c>
      <c r="AT201" s="59">
        <f t="shared" si="102"/>
        <v>-9.4806176228215522E-2</v>
      </c>
      <c r="AU201" s="59">
        <f t="shared" si="103"/>
        <v>0.24984061273484715</v>
      </c>
      <c r="AV201" s="59">
        <f t="shared" si="104"/>
        <v>0.87463748066465286</v>
      </c>
      <c r="AW201" s="59">
        <f t="shared" si="105"/>
        <v>0.37209400826906447</v>
      </c>
      <c r="AX201" s="59">
        <f t="shared" si="106"/>
        <v>-0.20197138258133929</v>
      </c>
      <c r="AY201" s="59">
        <f t="shared" si="107"/>
        <v>1.9491443426033817E-2</v>
      </c>
      <c r="AZ201" s="65">
        <f t="shared" si="108"/>
        <v>0.14164009515873743</v>
      </c>
    </row>
    <row r="202" spans="1:52" ht="25.5">
      <c r="A202" s="515" t="s">
        <v>55</v>
      </c>
      <c r="B202" s="495">
        <v>2255562984</v>
      </c>
      <c r="C202" s="496">
        <v>3007092908</v>
      </c>
      <c r="D202" s="496">
        <v>5264132934</v>
      </c>
      <c r="E202" s="496">
        <v>5144046910</v>
      </c>
      <c r="F202" s="496">
        <v>6100752322</v>
      </c>
      <c r="G202" s="496">
        <v>7691531099</v>
      </c>
      <c r="H202" s="496">
        <v>7800763241</v>
      </c>
      <c r="I202" s="496">
        <v>11095951550</v>
      </c>
      <c r="J202" s="496">
        <v>12324276537.290001</v>
      </c>
      <c r="K202" s="496">
        <v>14369151920.18</v>
      </c>
      <c r="L202" s="497">
        <v>12960971641.059999</v>
      </c>
      <c r="M202" s="463"/>
      <c r="O202" s="58">
        <f t="shared" si="84"/>
        <v>0.5890488176319566</v>
      </c>
      <c r="P202" s="59">
        <f t="shared" si="85"/>
        <v>0.50196012226018027</v>
      </c>
      <c r="Q202" s="59">
        <f t="shared" si="86"/>
        <v>0.48823746499602577</v>
      </c>
      <c r="R202" s="59">
        <f t="shared" si="87"/>
        <v>0.54610696004783299</v>
      </c>
      <c r="S202" s="59">
        <f t="shared" si="88"/>
        <v>0.51543311017999716</v>
      </c>
      <c r="T202" s="59">
        <f t="shared" si="89"/>
        <v>0.54827180257160513</v>
      </c>
      <c r="U202" s="59">
        <f t="shared" si="90"/>
        <v>0.52302640638955122</v>
      </c>
      <c r="V202" s="59">
        <f t="shared" si="91"/>
        <v>0.55248801213909893</v>
      </c>
      <c r="W202" s="59">
        <f t="shared" si="92"/>
        <v>0.5402778785174337</v>
      </c>
      <c r="X202" s="59">
        <f t="shared" si="93"/>
        <v>0.51998899132846987</v>
      </c>
      <c r="Y202" s="60">
        <f t="shared" si="94"/>
        <v>0.47459208135196873</v>
      </c>
      <c r="Z202" s="60">
        <f t="shared" si="95"/>
        <v>0.52722105885582915</v>
      </c>
      <c r="AB202" s="68"/>
      <c r="AC202" s="59">
        <f t="shared" si="96"/>
        <v>0.33318950937350555</v>
      </c>
      <c r="AD202" s="59">
        <f t="shared" si="96"/>
        <v>0.75057209572588302</v>
      </c>
      <c r="AE202" s="59">
        <f t="shared" si="96"/>
        <v>-2.2812118444879737E-2</v>
      </c>
      <c r="AF202" s="59">
        <f t="shared" si="96"/>
        <v>0.18598302634841257</v>
      </c>
      <c r="AG202" s="59">
        <f t="shared" si="96"/>
        <v>0.26075124722953791</v>
      </c>
      <c r="AH202" s="59">
        <f t="shared" si="96"/>
        <v>1.4201612214010506E-2</v>
      </c>
      <c r="AI202" s="59">
        <f t="shared" si="96"/>
        <v>0.42241870534934756</v>
      </c>
      <c r="AJ202" s="59">
        <f t="shared" si="83"/>
        <v>0.11070028395086151</v>
      </c>
      <c r="AK202" s="59">
        <f t="shared" si="82"/>
        <v>0.16592254942533513</v>
      </c>
      <c r="AL202" s="60">
        <f t="shared" si="82"/>
        <v>-9.8000235987647732E-2</v>
      </c>
      <c r="AM202" s="65">
        <f t="shared" si="97"/>
        <v>0.21229266751843667</v>
      </c>
      <c r="AO202" s="68"/>
      <c r="AP202" s="59">
        <f t="shared" si="98"/>
        <v>0.22592138792966043</v>
      </c>
      <c r="AQ202" s="59">
        <f t="shared" si="99"/>
        <v>0.62617008427857224</v>
      </c>
      <c r="AR202" s="59">
        <f t="shared" si="100"/>
        <v>-8.6654938260472769E-2</v>
      </c>
      <c r="AS202" s="59">
        <f t="shared" si="101"/>
        <v>0.11370365888666778</v>
      </c>
      <c r="AT202" s="59">
        <f t="shared" si="102"/>
        <v>0.19505294109491111</v>
      </c>
      <c r="AU202" s="59">
        <f t="shared" si="103"/>
        <v>-3.2735645951015635E-2</v>
      </c>
      <c r="AV202" s="59">
        <f t="shared" si="104"/>
        <v>0.36142678536499573</v>
      </c>
      <c r="AW202" s="59">
        <f t="shared" si="105"/>
        <v>5.0903854622822875E-2</v>
      </c>
      <c r="AX202" s="59">
        <f t="shared" si="106"/>
        <v>8.2866675420576907E-2</v>
      </c>
      <c r="AY202" s="59">
        <f t="shared" si="107"/>
        <v>-0.11568650587024287</v>
      </c>
      <c r="AZ202" s="65">
        <f t="shared" si="108"/>
        <v>0.14209682975164761</v>
      </c>
    </row>
    <row r="203" spans="1:52" ht="38.25">
      <c r="A203" s="515" t="s">
        <v>56</v>
      </c>
      <c r="B203" s="495">
        <v>313249131</v>
      </c>
      <c r="C203" s="496">
        <v>361034230</v>
      </c>
      <c r="D203" s="496">
        <v>398466081</v>
      </c>
      <c r="E203" s="496">
        <v>479336318</v>
      </c>
      <c r="F203" s="496">
        <v>801560997</v>
      </c>
      <c r="G203" s="496">
        <v>545013383</v>
      </c>
      <c r="H203" s="496">
        <v>598375189</v>
      </c>
      <c r="I203" s="496">
        <v>805825467</v>
      </c>
      <c r="J203" s="496">
        <v>823664969</v>
      </c>
      <c r="K203" s="496">
        <v>1589680014.01</v>
      </c>
      <c r="L203" s="497">
        <v>1682544527</v>
      </c>
      <c r="M203" s="463"/>
      <c r="O203" s="58">
        <f t="shared" si="84"/>
        <v>8.1806197188323729E-2</v>
      </c>
      <c r="P203" s="59">
        <f t="shared" si="85"/>
        <v>6.026577554314462E-2</v>
      </c>
      <c r="Q203" s="59">
        <f t="shared" si="86"/>
        <v>3.6956906619475025E-2</v>
      </c>
      <c r="R203" s="59">
        <f t="shared" si="87"/>
        <v>5.0887735676481492E-2</v>
      </c>
      <c r="S203" s="59">
        <f t="shared" si="88"/>
        <v>6.7721332694136757E-2</v>
      </c>
      <c r="T203" s="59">
        <f t="shared" si="89"/>
        <v>3.8849933267761025E-2</v>
      </c>
      <c r="U203" s="59">
        <f t="shared" si="90"/>
        <v>4.0119923539073926E-2</v>
      </c>
      <c r="V203" s="59">
        <f t="shared" si="91"/>
        <v>4.0123544915252544E-2</v>
      </c>
      <c r="W203" s="59">
        <f t="shared" si="92"/>
        <v>3.6108242192876096E-2</v>
      </c>
      <c r="X203" s="59">
        <f t="shared" si="93"/>
        <v>5.7527132541426482E-2</v>
      </c>
      <c r="Y203" s="60">
        <f t="shared" si="94"/>
        <v>6.1609756671837559E-2</v>
      </c>
      <c r="Z203" s="60">
        <f t="shared" si="95"/>
        <v>5.1997861895435385E-2</v>
      </c>
      <c r="AB203" s="68"/>
      <c r="AC203" s="59">
        <f t="shared" si="96"/>
        <v>0.1525466290918458</v>
      </c>
      <c r="AD203" s="59">
        <f t="shared" si="96"/>
        <v>0.10367950706502271</v>
      </c>
      <c r="AE203" s="59">
        <f t="shared" si="96"/>
        <v>0.20295387952983623</v>
      </c>
      <c r="AF203" s="59">
        <f t="shared" si="96"/>
        <v>0.67223088862630265</v>
      </c>
      <c r="AG203" s="59">
        <f t="shared" si="96"/>
        <v>-0.32006000162205994</v>
      </c>
      <c r="AH203" s="59">
        <f t="shared" si="96"/>
        <v>9.7909166388304936E-2</v>
      </c>
      <c r="AI203" s="59">
        <f t="shared" si="96"/>
        <v>0.34668930432541711</v>
      </c>
      <c r="AJ203" s="59">
        <f t="shared" si="83"/>
        <v>2.2138171019109754E-2</v>
      </c>
      <c r="AK203" s="59">
        <f t="shared" si="82"/>
        <v>0.9300080419105452</v>
      </c>
      <c r="AL203" s="60">
        <f t="shared" si="82"/>
        <v>5.8417110469765277E-2</v>
      </c>
      <c r="AM203" s="65">
        <f t="shared" si="97"/>
        <v>0.22665126968040897</v>
      </c>
      <c r="AO203" s="68"/>
      <c r="AP203" s="59">
        <f t="shared" si="98"/>
        <v>5.9812992268364118E-2</v>
      </c>
      <c r="AQ203" s="59">
        <f t="shared" si="99"/>
        <v>2.5248032573174761E-2</v>
      </c>
      <c r="AR203" s="59">
        <f t="shared" si="100"/>
        <v>0.12436104264869252</v>
      </c>
      <c r="AS203" s="59">
        <f t="shared" si="101"/>
        <v>0.57031729610883897</v>
      </c>
      <c r="AT203" s="59">
        <f t="shared" si="102"/>
        <v>-0.35549197622035955</v>
      </c>
      <c r="AU203" s="59">
        <f t="shared" si="103"/>
        <v>4.7097921992804714E-2</v>
      </c>
      <c r="AV203" s="59">
        <f t="shared" si="104"/>
        <v>0.2889445868352003</v>
      </c>
      <c r="AW203" s="59">
        <f t="shared" si="105"/>
        <v>-3.2890367093282413E-2</v>
      </c>
      <c r="AX203" s="59">
        <f t="shared" si="106"/>
        <v>0.79252163268370501</v>
      </c>
      <c r="AY203" s="59">
        <f t="shared" si="107"/>
        <v>3.7663833793887491E-2</v>
      </c>
      <c r="AZ203" s="65">
        <f t="shared" si="108"/>
        <v>0.15575849955910259</v>
      </c>
    </row>
    <row r="204" spans="1:52" ht="25.5">
      <c r="A204" s="515" t="s">
        <v>227</v>
      </c>
      <c r="B204" s="495">
        <v>58683760</v>
      </c>
      <c r="C204" s="496">
        <v>83733540</v>
      </c>
      <c r="D204" s="496">
        <v>204401290</v>
      </c>
      <c r="E204" s="496">
        <v>91109424</v>
      </c>
      <c r="F204" s="496">
        <v>179439518</v>
      </c>
      <c r="G204" s="496">
        <v>203846697</v>
      </c>
      <c r="H204" s="496">
        <v>221778978</v>
      </c>
      <c r="I204" s="496">
        <v>985210508</v>
      </c>
      <c r="J204" s="496">
        <v>273157130</v>
      </c>
      <c r="K204" s="496">
        <v>360027737</v>
      </c>
      <c r="L204" s="497">
        <v>373810896</v>
      </c>
      <c r="M204" s="463"/>
      <c r="O204" s="58">
        <f t="shared" si="84"/>
        <v>1.5325486225569973E-2</v>
      </c>
      <c r="P204" s="59">
        <f t="shared" si="85"/>
        <v>1.3977252868995057E-2</v>
      </c>
      <c r="Q204" s="59">
        <f t="shared" si="86"/>
        <v>1.8957797784123646E-2</v>
      </c>
      <c r="R204" s="59">
        <f t="shared" si="87"/>
        <v>9.6724410649569829E-3</v>
      </c>
      <c r="S204" s="59">
        <f t="shared" si="88"/>
        <v>1.5160272695944986E-2</v>
      </c>
      <c r="T204" s="59">
        <f t="shared" si="89"/>
        <v>1.453070846024253E-2</v>
      </c>
      <c r="U204" s="59">
        <f t="shared" si="90"/>
        <v>1.486986058831052E-2</v>
      </c>
      <c r="V204" s="59">
        <f t="shared" si="91"/>
        <v>4.9055458889730987E-2</v>
      </c>
      <c r="W204" s="59">
        <f t="shared" si="92"/>
        <v>1.197480065071329E-2</v>
      </c>
      <c r="X204" s="59">
        <f t="shared" si="93"/>
        <v>1.3028636683142291E-2</v>
      </c>
      <c r="Y204" s="60">
        <f t="shared" si="94"/>
        <v>1.3687838850187872E-2</v>
      </c>
      <c r="Z204" s="60">
        <f t="shared" si="95"/>
        <v>1.7294595887447105E-2</v>
      </c>
      <c r="AB204" s="68"/>
      <c r="AC204" s="59">
        <f t="shared" si="96"/>
        <v>0.42686051473184405</v>
      </c>
      <c r="AD204" s="59">
        <f t="shared" si="96"/>
        <v>1.4410921836100563</v>
      </c>
      <c r="AE204" s="59">
        <f t="shared" si="96"/>
        <v>-0.55426199120367592</v>
      </c>
      <c r="AF204" s="59">
        <f t="shared" si="96"/>
        <v>0.9694945936657442</v>
      </c>
      <c r="AG204" s="59">
        <f t="shared" si="96"/>
        <v>0.13601897325649293</v>
      </c>
      <c r="AH204" s="59">
        <f t="shared" si="96"/>
        <v>8.7969445980280003E-2</v>
      </c>
      <c r="AI204" s="59">
        <f t="shared" si="96"/>
        <v>3.4423079089128095</v>
      </c>
      <c r="AJ204" s="59">
        <f t="shared" si="83"/>
        <v>-0.72274237050666934</v>
      </c>
      <c r="AK204" s="59">
        <f t="shared" si="82"/>
        <v>0.31802430710851293</v>
      </c>
      <c r="AL204" s="60">
        <f t="shared" si="82"/>
        <v>3.8283603132499788E-2</v>
      </c>
      <c r="AM204" s="65">
        <f t="shared" si="97"/>
        <v>0.55830471686878946</v>
      </c>
      <c r="AO204" s="68"/>
      <c r="AP204" s="59">
        <f t="shared" si="98"/>
        <v>0.31205564573043132</v>
      </c>
      <c r="AQ204" s="59">
        <f t="shared" si="99"/>
        <v>1.2676193066512367</v>
      </c>
      <c r="AR204" s="59">
        <f t="shared" si="100"/>
        <v>-0.58338348556283393</v>
      </c>
      <c r="AS204" s="59">
        <f t="shared" si="101"/>
        <v>0.84946435690275535</v>
      </c>
      <c r="AT204" s="59">
        <f t="shared" si="102"/>
        <v>7.6820521187731083E-2</v>
      </c>
      <c r="AU204" s="59">
        <f t="shared" si="103"/>
        <v>3.7618211919274502E-2</v>
      </c>
      <c r="AV204" s="59">
        <f t="shared" si="104"/>
        <v>3.2518260996485546</v>
      </c>
      <c r="AW204" s="59">
        <f t="shared" si="105"/>
        <v>-0.73766900416942882</v>
      </c>
      <c r="AX204" s="59">
        <f t="shared" si="106"/>
        <v>0.22413328420963397</v>
      </c>
      <c r="AY204" s="59">
        <f t="shared" si="107"/>
        <v>1.7925101110293884E-2</v>
      </c>
      <c r="AZ204" s="65">
        <f t="shared" si="108"/>
        <v>0.47164100376276485</v>
      </c>
    </row>
    <row r="205" spans="1:52" ht="25.5">
      <c r="A205" s="515" t="s">
        <v>228</v>
      </c>
      <c r="B205" s="495">
        <v>1552510</v>
      </c>
      <c r="C205" s="496">
        <v>1355473</v>
      </c>
      <c r="D205" s="496">
        <v>1900361</v>
      </c>
      <c r="E205" s="496">
        <v>2013207</v>
      </c>
      <c r="F205" s="496">
        <v>1411749</v>
      </c>
      <c r="G205" s="496">
        <v>2959566</v>
      </c>
      <c r="H205" s="496">
        <v>2224513</v>
      </c>
      <c r="I205" s="496">
        <v>2264745</v>
      </c>
      <c r="J205" s="496">
        <v>3057468</v>
      </c>
      <c r="K205" s="496">
        <v>2091901</v>
      </c>
      <c r="L205" s="497">
        <v>4473592</v>
      </c>
      <c r="M205" s="463"/>
      <c r="O205" s="58">
        <f t="shared" si="84"/>
        <v>4.0544386760595503E-4</v>
      </c>
      <c r="P205" s="59">
        <f t="shared" si="85"/>
        <v>2.2626284375526625E-4</v>
      </c>
      <c r="Q205" s="59">
        <f t="shared" si="86"/>
        <v>1.7625456059907938E-4</v>
      </c>
      <c r="R205" s="59">
        <f t="shared" si="87"/>
        <v>2.1372790216584898E-4</v>
      </c>
      <c r="S205" s="59">
        <f t="shared" si="88"/>
        <v>1.1927417135743555E-4</v>
      </c>
      <c r="T205" s="59">
        <f t="shared" si="89"/>
        <v>2.1096535459118153E-4</v>
      </c>
      <c r="U205" s="59">
        <f t="shared" si="90"/>
        <v>1.4914938505526163E-4</v>
      </c>
      <c r="V205" s="59">
        <f t="shared" si="91"/>
        <v>1.1276585495292322E-4</v>
      </c>
      <c r="W205" s="59">
        <f t="shared" si="92"/>
        <v>1.3403483114621633E-4</v>
      </c>
      <c r="X205" s="59">
        <f t="shared" si="93"/>
        <v>7.570143993128518E-5</v>
      </c>
      <c r="Y205" s="60">
        <f t="shared" si="94"/>
        <v>1.6380958134909384E-4</v>
      </c>
      <c r="Z205" s="60">
        <f t="shared" si="95"/>
        <v>1.8067179931904973E-4</v>
      </c>
      <c r="AB205" s="68"/>
      <c r="AC205" s="59">
        <f t="shared" si="96"/>
        <v>-0.12691512454026066</v>
      </c>
      <c r="AD205" s="59">
        <f t="shared" si="96"/>
        <v>0.40199103929034363</v>
      </c>
      <c r="AE205" s="59">
        <f t="shared" si="96"/>
        <v>5.9381349122614058E-2</v>
      </c>
      <c r="AF205" s="59">
        <f t="shared" si="96"/>
        <v>-0.29875616367318414</v>
      </c>
      <c r="AG205" s="59">
        <f t="shared" si="96"/>
        <v>1.0963825722561165</v>
      </c>
      <c r="AH205" s="59">
        <f t="shared" si="96"/>
        <v>-0.24836513191461185</v>
      </c>
      <c r="AI205" s="59">
        <f t="shared" si="96"/>
        <v>1.8085756298120037E-2</v>
      </c>
      <c r="AJ205" s="59">
        <f t="shared" si="83"/>
        <v>0.35002748653821958</v>
      </c>
      <c r="AK205" s="59">
        <f t="shared" si="82"/>
        <v>-0.31580608529672261</v>
      </c>
      <c r="AL205" s="60">
        <f t="shared" si="82"/>
        <v>1.1385295002010132</v>
      </c>
      <c r="AM205" s="65">
        <f t="shared" si="97"/>
        <v>0.20745551982816476</v>
      </c>
      <c r="AO205" s="68"/>
      <c r="AP205" s="59">
        <f t="shared" si="98"/>
        <v>-0.19716333291058441</v>
      </c>
      <c r="AQ205" s="59">
        <f t="shared" si="99"/>
        <v>0.30236046380895831</v>
      </c>
      <c r="AR205" s="59">
        <f t="shared" si="100"/>
        <v>-9.8314336642546518E-3</v>
      </c>
      <c r="AS205" s="59">
        <f t="shared" si="101"/>
        <v>-0.34149325164164157</v>
      </c>
      <c r="AT205" s="59">
        <f t="shared" si="102"/>
        <v>0.98713914750437959</v>
      </c>
      <c r="AU205" s="59">
        <f t="shared" si="103"/>
        <v>-0.28315079920628905</v>
      </c>
      <c r="AV205" s="59">
        <f t="shared" si="104"/>
        <v>-2.5568763114356741E-2</v>
      </c>
      <c r="AW205" s="59">
        <f t="shared" si="105"/>
        <v>0.27734647226626885</v>
      </c>
      <c r="AX205" s="59">
        <f t="shared" si="106"/>
        <v>-0.3645454493328899</v>
      </c>
      <c r="AY205" s="59">
        <f t="shared" si="107"/>
        <v>1.0965975492166797</v>
      </c>
      <c r="AZ205" s="65">
        <f t="shared" si="108"/>
        <v>0.14416906029262702</v>
      </c>
    </row>
    <row r="206" spans="1:52" ht="51">
      <c r="A206" s="515" t="s">
        <v>229</v>
      </c>
      <c r="B206" s="495">
        <v>16744561</v>
      </c>
      <c r="C206" s="496">
        <v>4384271</v>
      </c>
      <c r="D206" s="496">
        <v>12797220</v>
      </c>
      <c r="E206" s="496">
        <v>22868175</v>
      </c>
      <c r="F206" s="496">
        <v>20741181</v>
      </c>
      <c r="G206" s="496">
        <v>35884141</v>
      </c>
      <c r="H206" s="496">
        <v>59890263</v>
      </c>
      <c r="I206" s="496">
        <v>87141348</v>
      </c>
      <c r="J206" s="496">
        <v>88688864.400000006</v>
      </c>
      <c r="K206" s="496">
        <v>38150355</v>
      </c>
      <c r="L206" s="497">
        <v>65680103</v>
      </c>
      <c r="M206" s="463"/>
      <c r="O206" s="58">
        <f t="shared" si="84"/>
        <v>4.372905535683402E-3</v>
      </c>
      <c r="P206" s="59">
        <f t="shared" si="85"/>
        <v>7.3184609671586597E-4</v>
      </c>
      <c r="Q206" s="59">
        <f t="shared" si="86"/>
        <v>1.1869157428455702E-3</v>
      </c>
      <c r="R206" s="59">
        <f t="shared" si="87"/>
        <v>2.4277518750488716E-3</v>
      </c>
      <c r="S206" s="59">
        <f t="shared" si="88"/>
        <v>1.7523562451608511E-3</v>
      </c>
      <c r="T206" s="59">
        <f t="shared" si="89"/>
        <v>2.5579123865678128E-3</v>
      </c>
      <c r="U206" s="59">
        <f t="shared" si="90"/>
        <v>4.015528745953784E-3</v>
      </c>
      <c r="V206" s="59">
        <f t="shared" si="91"/>
        <v>4.3389293757002253E-3</v>
      </c>
      <c r="W206" s="59">
        <f t="shared" si="92"/>
        <v>3.8879873687651602E-3</v>
      </c>
      <c r="X206" s="59">
        <f t="shared" si="93"/>
        <v>1.3805800596632944E-3</v>
      </c>
      <c r="Y206" s="60">
        <f t="shared" si="94"/>
        <v>2.4050092577497821E-3</v>
      </c>
      <c r="Z206" s="60">
        <f t="shared" si="95"/>
        <v>2.6416111536231475E-3</v>
      </c>
      <c r="AB206" s="68"/>
      <c r="AC206" s="59">
        <f t="shared" si="96"/>
        <v>-0.73816745628625324</v>
      </c>
      <c r="AD206" s="59">
        <f t="shared" si="96"/>
        <v>1.9188934716854864</v>
      </c>
      <c r="AE206" s="59">
        <f t="shared" si="96"/>
        <v>0.78696427817916703</v>
      </c>
      <c r="AF206" s="59">
        <f t="shared" si="96"/>
        <v>-9.3011095113624043E-2</v>
      </c>
      <c r="AG206" s="59">
        <f t="shared" si="96"/>
        <v>0.73009150250412458</v>
      </c>
      <c r="AH206" s="59">
        <f t="shared" si="96"/>
        <v>0.66898973560492925</v>
      </c>
      <c r="AI206" s="59">
        <f t="shared" si="96"/>
        <v>0.45501695325665881</v>
      </c>
      <c r="AJ206" s="59">
        <f t="shared" si="83"/>
        <v>1.7758692463651249E-2</v>
      </c>
      <c r="AK206" s="59">
        <f t="shared" si="82"/>
        <v>-0.56984052893116088</v>
      </c>
      <c r="AL206" s="60">
        <f t="shared" si="82"/>
        <v>0.72161184345466767</v>
      </c>
      <c r="AM206" s="65">
        <f t="shared" si="97"/>
        <v>0.38983073968176474</v>
      </c>
      <c r="AO206" s="68"/>
      <c r="AP206" s="59">
        <f t="shared" si="98"/>
        <v>-0.75923444256207195</v>
      </c>
      <c r="AQ206" s="59">
        <f t="shared" si="99"/>
        <v>1.7114662997542838</v>
      </c>
      <c r="AR206" s="59">
        <f t="shared" si="100"/>
        <v>0.67021616803361717</v>
      </c>
      <c r="AS206" s="59">
        <f t="shared" si="101"/>
        <v>-0.14828725243086116</v>
      </c>
      <c r="AT206" s="59">
        <f t="shared" si="102"/>
        <v>0.63993566770149757</v>
      </c>
      <c r="AU206" s="59">
        <f t="shared" si="103"/>
        <v>0.5917488782138085</v>
      </c>
      <c r="AV206" s="59">
        <f t="shared" si="104"/>
        <v>0.39262725235131968</v>
      </c>
      <c r="AW206" s="59">
        <f t="shared" si="105"/>
        <v>-3.7034069009696968E-2</v>
      </c>
      <c r="AX206" s="59">
        <f t="shared" si="106"/>
        <v>-0.60048344843611123</v>
      </c>
      <c r="AY206" s="59">
        <f t="shared" si="107"/>
        <v>0.68785474848496819</v>
      </c>
      <c r="AZ206" s="65">
        <f t="shared" si="108"/>
        <v>0.31488098021007527</v>
      </c>
    </row>
    <row r="207" spans="1:52" ht="38.25">
      <c r="A207" s="515" t="s">
        <v>230</v>
      </c>
      <c r="B207" s="495">
        <v>54067</v>
      </c>
      <c r="C207" s="496"/>
      <c r="D207" s="496"/>
      <c r="E207" s="496"/>
      <c r="F207" s="496"/>
      <c r="G207" s="496"/>
      <c r="H207" s="496">
        <v>17000</v>
      </c>
      <c r="I207" s="496"/>
      <c r="J207" s="496"/>
      <c r="K207" s="496"/>
      <c r="L207" s="497"/>
      <c r="M207" s="463"/>
      <c r="O207" s="58">
        <f t="shared" si="84"/>
        <v>1.4119801862694071E-5</v>
      </c>
      <c r="P207" s="59">
        <f t="shared" si="85"/>
        <v>0</v>
      </c>
      <c r="Q207" s="59">
        <f t="shared" si="86"/>
        <v>0</v>
      </c>
      <c r="R207" s="59">
        <f t="shared" si="87"/>
        <v>0</v>
      </c>
      <c r="S207" s="59">
        <f t="shared" si="88"/>
        <v>0</v>
      </c>
      <c r="T207" s="59">
        <f t="shared" si="89"/>
        <v>0</v>
      </c>
      <c r="U207" s="59">
        <f t="shared" si="90"/>
        <v>1.1398178144786961E-6</v>
      </c>
      <c r="V207" s="59">
        <f t="shared" si="91"/>
        <v>0</v>
      </c>
      <c r="W207" s="59">
        <f t="shared" si="92"/>
        <v>0</v>
      </c>
      <c r="X207" s="59">
        <f t="shared" si="93"/>
        <v>0</v>
      </c>
      <c r="Y207" s="60">
        <f t="shared" si="94"/>
        <v>0</v>
      </c>
      <c r="Z207" s="60">
        <f t="shared" si="95"/>
        <v>1.3872381524702515E-6</v>
      </c>
      <c r="AB207" s="68"/>
      <c r="AC207" s="59">
        <f t="shared" si="96"/>
        <v>-1</v>
      </c>
      <c r="AD207" s="59" t="str">
        <f t="shared" si="96"/>
        <v/>
      </c>
      <c r="AE207" s="59" t="str">
        <f t="shared" si="96"/>
        <v/>
      </c>
      <c r="AF207" s="59" t="str">
        <f t="shared" si="96"/>
        <v/>
      </c>
      <c r="AG207" s="59" t="str">
        <f t="shared" si="96"/>
        <v/>
      </c>
      <c r="AH207" s="59" t="str">
        <f t="shared" si="96"/>
        <v/>
      </c>
      <c r="AI207" s="59">
        <f t="shared" si="96"/>
        <v>-1</v>
      </c>
      <c r="AJ207" s="59" t="str">
        <f t="shared" si="83"/>
        <v/>
      </c>
      <c r="AK207" s="59" t="str">
        <f t="shared" si="82"/>
        <v/>
      </c>
      <c r="AL207" s="60" t="str">
        <f t="shared" si="82"/>
        <v/>
      </c>
      <c r="AM207" s="65">
        <f t="shared" si="97"/>
        <v>-1</v>
      </c>
      <c r="AO207" s="68"/>
      <c r="AP207" s="59">
        <f t="shared" si="98"/>
        <v>-1</v>
      </c>
      <c r="AQ207" s="59">
        <f t="shared" si="99"/>
        <v>0</v>
      </c>
      <c r="AR207" s="59">
        <f t="shared" si="100"/>
        <v>0</v>
      </c>
      <c r="AS207" s="59">
        <f t="shared" si="101"/>
        <v>0</v>
      </c>
      <c r="AT207" s="59">
        <f t="shared" si="102"/>
        <v>0</v>
      </c>
      <c r="AU207" s="59">
        <f t="shared" si="103"/>
        <v>0</v>
      </c>
      <c r="AV207" s="59">
        <f t="shared" si="104"/>
        <v>-1</v>
      </c>
      <c r="AW207" s="59">
        <f t="shared" si="105"/>
        <v>0</v>
      </c>
      <c r="AX207" s="59">
        <f t="shared" si="106"/>
        <v>0</v>
      </c>
      <c r="AY207" s="59">
        <f t="shared" si="107"/>
        <v>0</v>
      </c>
      <c r="AZ207" s="65">
        <f t="shared" si="108"/>
        <v>-0.2</v>
      </c>
    </row>
    <row r="208" spans="1:52" ht="25.5">
      <c r="A208" s="515" t="s">
        <v>231</v>
      </c>
      <c r="B208" s="495"/>
      <c r="C208" s="496"/>
      <c r="D208" s="496"/>
      <c r="E208" s="496"/>
      <c r="F208" s="496"/>
      <c r="G208" s="496"/>
      <c r="H208" s="496"/>
      <c r="I208" s="496">
        <v>116248</v>
      </c>
      <c r="J208" s="496">
        <v>22520</v>
      </c>
      <c r="K208" s="496"/>
      <c r="L208" s="497"/>
      <c r="M208" s="463"/>
      <c r="O208" s="58">
        <f t="shared" si="84"/>
        <v>0</v>
      </c>
      <c r="P208" s="59">
        <f t="shared" si="85"/>
        <v>0</v>
      </c>
      <c r="Q208" s="59">
        <f t="shared" si="86"/>
        <v>0</v>
      </c>
      <c r="R208" s="59">
        <f t="shared" si="87"/>
        <v>0</v>
      </c>
      <c r="S208" s="59">
        <f t="shared" si="88"/>
        <v>0</v>
      </c>
      <c r="T208" s="59">
        <f t="shared" si="89"/>
        <v>0</v>
      </c>
      <c r="U208" s="59">
        <f t="shared" si="90"/>
        <v>0</v>
      </c>
      <c r="V208" s="59">
        <f t="shared" si="91"/>
        <v>5.788203575487491E-6</v>
      </c>
      <c r="W208" s="59">
        <f t="shared" si="92"/>
        <v>9.8724316899237908E-7</v>
      </c>
      <c r="X208" s="59">
        <f t="shared" si="93"/>
        <v>0</v>
      </c>
      <c r="Y208" s="60">
        <f t="shared" si="94"/>
        <v>0</v>
      </c>
      <c r="Z208" s="60">
        <f t="shared" si="95"/>
        <v>6.1594970404362452E-7</v>
      </c>
      <c r="AB208" s="68"/>
      <c r="AC208" s="59" t="str">
        <f t="shared" si="96"/>
        <v/>
      </c>
      <c r="AD208" s="59" t="str">
        <f t="shared" si="96"/>
        <v/>
      </c>
      <c r="AE208" s="59" t="str">
        <f t="shared" si="96"/>
        <v/>
      </c>
      <c r="AF208" s="59" t="str">
        <f t="shared" si="96"/>
        <v/>
      </c>
      <c r="AG208" s="59" t="str">
        <f t="shared" si="96"/>
        <v/>
      </c>
      <c r="AH208" s="59" t="str">
        <f t="shared" si="96"/>
        <v/>
      </c>
      <c r="AI208" s="59" t="str">
        <f t="shared" si="96"/>
        <v/>
      </c>
      <c r="AJ208" s="59">
        <f t="shared" si="83"/>
        <v>-0.8062762370105292</v>
      </c>
      <c r="AK208" s="59">
        <f t="shared" si="82"/>
        <v>-1</v>
      </c>
      <c r="AL208" s="60" t="str">
        <f t="shared" si="82"/>
        <v/>
      </c>
      <c r="AM208" s="65">
        <f t="shared" si="97"/>
        <v>-0.9031381185052646</v>
      </c>
      <c r="AO208" s="68"/>
      <c r="AP208" s="59">
        <f t="shared" si="98"/>
        <v>0</v>
      </c>
      <c r="AQ208" s="59">
        <f t="shared" si="99"/>
        <v>0</v>
      </c>
      <c r="AR208" s="59">
        <f t="shared" si="100"/>
        <v>0</v>
      </c>
      <c r="AS208" s="59">
        <f t="shared" si="101"/>
        <v>0</v>
      </c>
      <c r="AT208" s="59">
        <f t="shared" si="102"/>
        <v>0</v>
      </c>
      <c r="AU208" s="59">
        <f t="shared" si="103"/>
        <v>0</v>
      </c>
      <c r="AV208" s="59">
        <f t="shared" si="104"/>
        <v>0</v>
      </c>
      <c r="AW208" s="59">
        <f t="shared" si="105"/>
        <v>-0.81670568361295226</v>
      </c>
      <c r="AX208" s="59">
        <f t="shared" si="106"/>
        <v>-1</v>
      </c>
      <c r="AY208" s="59">
        <f t="shared" si="107"/>
        <v>0</v>
      </c>
      <c r="AZ208" s="65">
        <f t="shared" si="108"/>
        <v>-0.18167056836129522</v>
      </c>
    </row>
    <row r="209" spans="1:52" ht="38.25">
      <c r="A209" s="515" t="s">
        <v>57</v>
      </c>
      <c r="B209" s="495">
        <v>390284029</v>
      </c>
      <c r="C209" s="496">
        <v>450507514</v>
      </c>
      <c r="D209" s="496">
        <v>617564952</v>
      </c>
      <c r="E209" s="496">
        <v>595327124</v>
      </c>
      <c r="F209" s="496">
        <v>1003153445</v>
      </c>
      <c r="G209" s="496">
        <v>787703787</v>
      </c>
      <c r="H209" s="496">
        <v>882285943</v>
      </c>
      <c r="I209" s="496">
        <v>1880558316</v>
      </c>
      <c r="J209" s="496">
        <v>1188590951.4000001</v>
      </c>
      <c r="K209" s="496">
        <v>1989950007.01</v>
      </c>
      <c r="L209" s="497">
        <v>2126509118</v>
      </c>
      <c r="M209" s="463"/>
      <c r="O209" s="58">
        <f t="shared" si="84"/>
        <v>0.10192415261904575</v>
      </c>
      <c r="P209" s="59">
        <f t="shared" si="85"/>
        <v>7.5201137352610803E-2</v>
      </c>
      <c r="Q209" s="59">
        <f t="shared" si="86"/>
        <v>5.7277874707043319E-2</v>
      </c>
      <c r="R209" s="59">
        <f t="shared" si="87"/>
        <v>6.3201656518653199E-2</v>
      </c>
      <c r="S209" s="59">
        <f t="shared" si="88"/>
        <v>8.4753235806600033E-2</v>
      </c>
      <c r="T209" s="59">
        <f t="shared" si="89"/>
        <v>5.6149519469162551E-2</v>
      </c>
      <c r="U209" s="59">
        <f t="shared" si="90"/>
        <v>5.9155602076207972E-2</v>
      </c>
      <c r="V209" s="59">
        <f t="shared" si="91"/>
        <v>9.3636487239212168E-2</v>
      </c>
      <c r="W209" s="59">
        <f t="shared" si="92"/>
        <v>5.2106052286669764E-2</v>
      </c>
      <c r="X209" s="59">
        <f t="shared" si="93"/>
        <v>7.2012050724163348E-2</v>
      </c>
      <c r="Y209" s="60">
        <f t="shared" si="94"/>
        <v>7.7866414361124306E-2</v>
      </c>
      <c r="Z209" s="60">
        <f t="shared" si="95"/>
        <v>7.2116743923681198E-2</v>
      </c>
      <c r="AB209" s="68"/>
      <c r="AC209" s="59">
        <f t="shared" si="96"/>
        <v>0.15430681382045486</v>
      </c>
      <c r="AD209" s="59">
        <f t="shared" si="96"/>
        <v>0.37082053641396096</v>
      </c>
      <c r="AE209" s="59">
        <f t="shared" si="96"/>
        <v>-3.600888931274715E-2</v>
      </c>
      <c r="AF209" s="59">
        <f t="shared" si="96"/>
        <v>0.68504575813683233</v>
      </c>
      <c r="AG209" s="59">
        <f t="shared" si="96"/>
        <v>-0.21477238509608065</v>
      </c>
      <c r="AH209" s="59">
        <f t="shared" si="96"/>
        <v>0.12007325286605486</v>
      </c>
      <c r="AI209" s="59">
        <f t="shared" si="96"/>
        <v>1.1314612693540331</v>
      </c>
      <c r="AJ209" s="59">
        <f t="shared" si="83"/>
        <v>-0.36795847207324783</v>
      </c>
      <c r="AK209" s="59">
        <f t="shared" si="82"/>
        <v>0.67420928509181977</v>
      </c>
      <c r="AL209" s="60">
        <f t="shared" si="82"/>
        <v>6.8624392828434466E-2</v>
      </c>
      <c r="AM209" s="65">
        <f t="shared" si="97"/>
        <v>0.25858015620295144</v>
      </c>
      <c r="AO209" s="68"/>
      <c r="AP209" s="59">
        <f t="shared" si="98"/>
        <v>6.1431552938349343E-2</v>
      </c>
      <c r="AQ209" s="59">
        <f t="shared" si="99"/>
        <v>0.27340505008263905</v>
      </c>
      <c r="AR209" s="59">
        <f t="shared" si="100"/>
        <v>-9.8989521742917308E-2</v>
      </c>
      <c r="AS209" s="59">
        <f t="shared" si="101"/>
        <v>0.58235116737424386</v>
      </c>
      <c r="AT209" s="59">
        <f t="shared" si="102"/>
        <v>-0.25569094404471049</v>
      </c>
      <c r="AU209" s="59">
        <f t="shared" si="103"/>
        <v>6.8236254383330142E-2</v>
      </c>
      <c r="AV209" s="59">
        <f t="shared" si="104"/>
        <v>1.0400662991520226</v>
      </c>
      <c r="AW209" s="59">
        <f t="shared" si="105"/>
        <v>-0.40198549727812261</v>
      </c>
      <c r="AX209" s="59">
        <f t="shared" si="106"/>
        <v>0.5549450033359522</v>
      </c>
      <c r="AY209" s="59">
        <f t="shared" si="107"/>
        <v>4.7670973361210178E-2</v>
      </c>
      <c r="AZ209" s="65">
        <f t="shared" si="108"/>
        <v>0.18714403375619973</v>
      </c>
    </row>
    <row r="210" spans="1:52" ht="51">
      <c r="A210" s="515" t="s">
        <v>58</v>
      </c>
      <c r="B210" s="495">
        <v>180435626</v>
      </c>
      <c r="C210" s="496">
        <v>660000798</v>
      </c>
      <c r="D210" s="496">
        <v>740811242</v>
      </c>
      <c r="E210" s="496">
        <v>784950589</v>
      </c>
      <c r="F210" s="496">
        <v>879462331</v>
      </c>
      <c r="G210" s="496">
        <v>932082203</v>
      </c>
      <c r="H210" s="496">
        <v>1035316687</v>
      </c>
      <c r="I210" s="496">
        <v>1149139046</v>
      </c>
      <c r="J210" s="496">
        <v>2503135269</v>
      </c>
      <c r="K210" s="496">
        <v>2800387147.8600001</v>
      </c>
      <c r="L210" s="497">
        <v>3715962914.6599998</v>
      </c>
      <c r="M210" s="463"/>
      <c r="O210" s="58">
        <f t="shared" si="84"/>
        <v>4.7121447243071941E-2</v>
      </c>
      <c r="P210" s="59">
        <f t="shared" si="85"/>
        <v>0.11017088310591583</v>
      </c>
      <c r="Q210" s="59">
        <f t="shared" si="86"/>
        <v>6.8708713736794352E-2</v>
      </c>
      <c r="R210" s="59">
        <f t="shared" si="87"/>
        <v>8.3332634294842778E-2</v>
      </c>
      <c r="S210" s="59">
        <f t="shared" si="88"/>
        <v>7.430296799934244E-2</v>
      </c>
      <c r="T210" s="59">
        <f t="shared" si="89"/>
        <v>6.6441178356564656E-2</v>
      </c>
      <c r="U210" s="59">
        <f t="shared" si="90"/>
        <v>6.9416023733509663E-2</v>
      </c>
      <c r="V210" s="59">
        <f t="shared" si="91"/>
        <v>5.7217764905972447E-2</v>
      </c>
      <c r="W210" s="59">
        <f t="shared" si="92"/>
        <v>0.10973371205080602</v>
      </c>
      <c r="X210" s="59">
        <f t="shared" si="93"/>
        <v>0.10134004403557666</v>
      </c>
      <c r="Y210" s="60">
        <f t="shared" si="94"/>
        <v>0.13606746644736784</v>
      </c>
      <c r="Z210" s="60">
        <f t="shared" si="95"/>
        <v>8.3986621446342238E-2</v>
      </c>
      <c r="AB210" s="68"/>
      <c r="AC210" s="59">
        <f t="shared" si="96"/>
        <v>2.657818650514173</v>
      </c>
      <c r="AD210" s="59">
        <f t="shared" si="96"/>
        <v>0.12243991862567416</v>
      </c>
      <c r="AE210" s="59">
        <f t="shared" si="96"/>
        <v>5.9582447589260568E-2</v>
      </c>
      <c r="AF210" s="59">
        <f t="shared" si="96"/>
        <v>0.12040470231432621</v>
      </c>
      <c r="AG210" s="59">
        <f t="shared" si="96"/>
        <v>5.9831865612900215E-2</v>
      </c>
      <c r="AH210" s="59">
        <f t="shared" si="96"/>
        <v>0.11075684490888182</v>
      </c>
      <c r="AI210" s="59">
        <f t="shared" si="96"/>
        <v>0.10993965462859379</v>
      </c>
      <c r="AJ210" s="59">
        <f t="shared" si="83"/>
        <v>1.1782701385990499</v>
      </c>
      <c r="AK210" s="59">
        <f t="shared" si="82"/>
        <v>0.11875182397903417</v>
      </c>
      <c r="AL210" s="60">
        <f t="shared" si="82"/>
        <v>0.32694613939349937</v>
      </c>
      <c r="AM210" s="65">
        <f t="shared" si="97"/>
        <v>0.48647421861653939</v>
      </c>
      <c r="AO210" s="68"/>
      <c r="AP210" s="59">
        <f t="shared" si="98"/>
        <v>2.3635114027716537</v>
      </c>
      <c r="AQ210" s="59">
        <f t="shared" si="99"/>
        <v>4.2675261147862686E-2</v>
      </c>
      <c r="AR210" s="59">
        <f t="shared" si="100"/>
        <v>-9.6434736057010584E-3</v>
      </c>
      <c r="AS210" s="59">
        <f t="shared" si="101"/>
        <v>5.2121985458095876E-2</v>
      </c>
      <c r="AT210" s="59">
        <f t="shared" si="102"/>
        <v>4.6035574821117198E-3</v>
      </c>
      <c r="AU210" s="59">
        <f t="shared" si="103"/>
        <v>5.9351009855785231E-2</v>
      </c>
      <c r="AV210" s="59">
        <f t="shared" si="104"/>
        <v>6.2346530080966467E-2</v>
      </c>
      <c r="AW210" s="59">
        <f t="shared" si="105"/>
        <v>1.0609992795903587</v>
      </c>
      <c r="AX210" s="59">
        <f t="shared" si="106"/>
        <v>3.9056212481688668E-2</v>
      </c>
      <c r="AY210" s="59">
        <f t="shared" si="107"/>
        <v>0.30092758764068561</v>
      </c>
      <c r="AZ210" s="65">
        <f t="shared" si="108"/>
        <v>0.39759493529035078</v>
      </c>
    </row>
    <row r="211" spans="1:52" ht="25.5">
      <c r="A211" s="515" t="s">
        <v>232</v>
      </c>
      <c r="B211" s="495">
        <v>7711450</v>
      </c>
      <c r="C211" s="496">
        <v>937309</v>
      </c>
      <c r="D211" s="496">
        <v>13148868</v>
      </c>
      <c r="E211" s="496">
        <v>798214</v>
      </c>
      <c r="F211" s="496">
        <v>1695999</v>
      </c>
      <c r="G211" s="496">
        <v>1674348</v>
      </c>
      <c r="H211" s="496">
        <v>1819703</v>
      </c>
      <c r="I211" s="496">
        <v>2196803</v>
      </c>
      <c r="J211" s="496">
        <v>2116871</v>
      </c>
      <c r="K211" s="496">
        <v>2117282</v>
      </c>
      <c r="L211" s="497">
        <v>1058237</v>
      </c>
      <c r="M211" s="463"/>
      <c r="O211" s="58">
        <f t="shared" si="84"/>
        <v>2.0138743794564555E-3</v>
      </c>
      <c r="P211" s="59">
        <f t="shared" si="85"/>
        <v>1.5646065972350971E-4</v>
      </c>
      <c r="Q211" s="59">
        <f t="shared" si="86"/>
        <v>1.2195303690800303E-3</v>
      </c>
      <c r="R211" s="59">
        <f t="shared" si="87"/>
        <v>8.4740716528112104E-5</v>
      </c>
      <c r="S211" s="59">
        <f t="shared" si="88"/>
        <v>1.4328954746774342E-4</v>
      </c>
      <c r="T211" s="59">
        <f t="shared" si="89"/>
        <v>1.1935176290342423E-4</v>
      </c>
      <c r="U211" s="59">
        <f t="shared" si="90"/>
        <v>1.2200764096825452E-4</v>
      </c>
      <c r="V211" s="59">
        <f t="shared" si="91"/>
        <v>1.0938289673148482E-4</v>
      </c>
      <c r="W211" s="59">
        <f t="shared" si="92"/>
        <v>9.2800463338724097E-5</v>
      </c>
      <c r="X211" s="59">
        <f t="shared" si="93"/>
        <v>7.661992424143941E-5</v>
      </c>
      <c r="Y211" s="60">
        <f t="shared" si="94"/>
        <v>3.8749479151903218E-5</v>
      </c>
      <c r="Z211" s="60">
        <f t="shared" si="95"/>
        <v>3.7970980359918919E-4</v>
      </c>
      <c r="AB211" s="68"/>
      <c r="AC211" s="59">
        <f t="shared" si="96"/>
        <v>-0.87845230144784703</v>
      </c>
      <c r="AD211" s="59">
        <f t="shared" si="96"/>
        <v>13.028317235831514</v>
      </c>
      <c r="AE211" s="59">
        <f t="shared" si="96"/>
        <v>-0.93929408980301576</v>
      </c>
      <c r="AF211" s="59">
        <f t="shared" si="96"/>
        <v>1.1247422370442011</v>
      </c>
      <c r="AG211" s="59">
        <f t="shared" si="96"/>
        <v>-1.276592733840054E-2</v>
      </c>
      <c r="AH211" s="59">
        <f t="shared" si="96"/>
        <v>8.6812896721589539E-2</v>
      </c>
      <c r="AI211" s="59">
        <f t="shared" si="96"/>
        <v>0.20723161966540693</v>
      </c>
      <c r="AJ211" s="59">
        <f t="shared" si="83"/>
        <v>-3.6385602168241715E-2</v>
      </c>
      <c r="AK211" s="59">
        <f t="shared" si="83"/>
        <v>1.9415448555903936E-4</v>
      </c>
      <c r="AL211" s="60">
        <f t="shared" si="83"/>
        <v>-0.50019081067141746</v>
      </c>
      <c r="AM211" s="65">
        <f t="shared" si="97"/>
        <v>1.2080209412319349</v>
      </c>
      <c r="AO211" s="68"/>
      <c r="AP211" s="59">
        <f t="shared" si="98"/>
        <v>-0.8882320013313536</v>
      </c>
      <c r="AQ211" s="59">
        <f t="shared" si="99"/>
        <v>12.031414060224352</v>
      </c>
      <c r="AR211" s="59">
        <f t="shared" si="100"/>
        <v>-0.94326020170391234</v>
      </c>
      <c r="AS211" s="59">
        <f t="shared" si="101"/>
        <v>0.99525048083782619</v>
      </c>
      <c r="AT211" s="59">
        <f t="shared" si="102"/>
        <v>-6.4211132310263985E-2</v>
      </c>
      <c r="AU211" s="59">
        <f t="shared" si="103"/>
        <v>3.6515187768887847E-2</v>
      </c>
      <c r="AV211" s="59">
        <f t="shared" si="104"/>
        <v>0.15546671101206644</v>
      </c>
      <c r="AW211" s="59">
        <f t="shared" si="105"/>
        <v>-8.8263413916398581E-2</v>
      </c>
      <c r="AX211" s="59">
        <f t="shared" si="106"/>
        <v>-7.1055860977469076E-2</v>
      </c>
      <c r="AY211" s="59">
        <f t="shared" si="107"/>
        <v>-0.50999099085433086</v>
      </c>
      <c r="AZ211" s="65">
        <f t="shared" si="108"/>
        <v>1.0653632838749405</v>
      </c>
    </row>
    <row r="212" spans="1:52" ht="25.5">
      <c r="A212" s="515" t="s">
        <v>233</v>
      </c>
      <c r="B212" s="495">
        <v>1386449</v>
      </c>
      <c r="C212" s="496">
        <v>426623</v>
      </c>
      <c r="D212" s="496">
        <v>21000</v>
      </c>
      <c r="E212" s="496">
        <v>1795410</v>
      </c>
      <c r="F212" s="496"/>
      <c r="G212" s="496">
        <v>135073</v>
      </c>
      <c r="H212" s="496">
        <v>72127</v>
      </c>
      <c r="I212" s="496">
        <v>976901</v>
      </c>
      <c r="J212" s="496">
        <v>9180500</v>
      </c>
      <c r="K212" s="496">
        <v>34491549</v>
      </c>
      <c r="L212" s="497">
        <v>8951510</v>
      </c>
      <c r="M212" s="463"/>
      <c r="O212" s="58">
        <f t="shared" si="84"/>
        <v>3.6207640839570036E-4</v>
      </c>
      <c r="P212" s="59">
        <f t="shared" si="85"/>
        <v>7.1214205809634688E-5</v>
      </c>
      <c r="Q212" s="59">
        <f t="shared" si="86"/>
        <v>1.9477066581458297E-6</v>
      </c>
      <c r="R212" s="59">
        <f t="shared" si="87"/>
        <v>1.9060594008841957E-4</v>
      </c>
      <c r="S212" s="59">
        <f t="shared" si="88"/>
        <v>0</v>
      </c>
      <c r="T212" s="59">
        <f t="shared" si="89"/>
        <v>9.6283452846446617E-6</v>
      </c>
      <c r="U212" s="59">
        <f t="shared" si="90"/>
        <v>4.8359787944061717E-6</v>
      </c>
      <c r="V212" s="59">
        <f t="shared" si="91"/>
        <v>4.8641713071169444E-5</v>
      </c>
      <c r="W212" s="59">
        <f t="shared" si="92"/>
        <v>4.0245940998821214E-4</v>
      </c>
      <c r="X212" s="59">
        <f t="shared" si="93"/>
        <v>1.2481756664203896E-3</v>
      </c>
      <c r="Y212" s="60">
        <f t="shared" si="94"/>
        <v>3.2777756790119148E-4</v>
      </c>
      <c r="Z212" s="60">
        <f t="shared" si="95"/>
        <v>2.4248754021926491E-4</v>
      </c>
      <c r="AB212" s="68"/>
      <c r="AC212" s="59">
        <f t="shared" si="96"/>
        <v>-0.69229088123688642</v>
      </c>
      <c r="AD212" s="59">
        <f t="shared" si="96"/>
        <v>-0.95077621225297282</v>
      </c>
      <c r="AE212" s="59">
        <f t="shared" si="96"/>
        <v>84.495714285714286</v>
      </c>
      <c r="AF212" s="59">
        <f t="shared" si="96"/>
        <v>-1</v>
      </c>
      <c r="AG212" s="59" t="str">
        <f t="shared" si="96"/>
        <v/>
      </c>
      <c r="AH212" s="59">
        <f t="shared" si="96"/>
        <v>-0.46601467354689685</v>
      </c>
      <c r="AI212" s="59">
        <f t="shared" si="96"/>
        <v>12.544179017566238</v>
      </c>
      <c r="AJ212" s="59">
        <f t="shared" si="83"/>
        <v>8.3975745751104771</v>
      </c>
      <c r="AK212" s="59">
        <f t="shared" si="83"/>
        <v>2.7570447143401777</v>
      </c>
      <c r="AL212" s="60">
        <f t="shared" si="83"/>
        <v>-0.74047236904321112</v>
      </c>
      <c r="AM212" s="65">
        <f t="shared" si="97"/>
        <v>11.593884272961246</v>
      </c>
      <c r="AO212" s="68"/>
      <c r="AP212" s="59">
        <f t="shared" si="98"/>
        <v>-0.71704908619483809</v>
      </c>
      <c r="AQ212" s="59">
        <f t="shared" si="99"/>
        <v>-0.95427423339802397</v>
      </c>
      <c r="AR212" s="59">
        <f t="shared" si="100"/>
        <v>78.910004940381612</v>
      </c>
      <c r="AS212" s="59">
        <f t="shared" si="101"/>
        <v>-1</v>
      </c>
      <c r="AT212" s="59">
        <f t="shared" si="102"/>
        <v>0</v>
      </c>
      <c r="AU212" s="59">
        <f t="shared" si="103"/>
        <v>-0.49072751843120987</v>
      </c>
      <c r="AV212" s="59">
        <f t="shared" si="104"/>
        <v>11.963417895832924</v>
      </c>
      <c r="AW212" s="59">
        <f t="shared" si="105"/>
        <v>7.8916402451608274</v>
      </c>
      <c r="AX212" s="59">
        <f t="shared" si="106"/>
        <v>2.4894071833752927</v>
      </c>
      <c r="AY212" s="59">
        <f t="shared" si="107"/>
        <v>-0.74556114612079516</v>
      </c>
      <c r="AZ212" s="65">
        <f t="shared" si="108"/>
        <v>9.734685828060579</v>
      </c>
    </row>
    <row r="213" spans="1:52" ht="25.5">
      <c r="A213" s="515" t="s">
        <v>234</v>
      </c>
      <c r="B213" s="495">
        <v>9207</v>
      </c>
      <c r="C213" s="496"/>
      <c r="D213" s="496">
        <v>550000</v>
      </c>
      <c r="E213" s="496">
        <v>86585</v>
      </c>
      <c r="F213" s="496">
        <v>4585</v>
      </c>
      <c r="G213" s="496">
        <v>1204585</v>
      </c>
      <c r="H213" s="496">
        <v>10624585</v>
      </c>
      <c r="I213" s="496">
        <v>12642564</v>
      </c>
      <c r="J213" s="496">
        <v>14122795</v>
      </c>
      <c r="K213" s="496">
        <v>14490211</v>
      </c>
      <c r="L213" s="497">
        <v>11034091</v>
      </c>
      <c r="M213" s="463"/>
      <c r="O213" s="58">
        <f t="shared" si="84"/>
        <v>2.4044429272906638E-6</v>
      </c>
      <c r="P213" s="59">
        <f t="shared" si="85"/>
        <v>0</v>
      </c>
      <c r="Q213" s="59">
        <f t="shared" si="86"/>
        <v>5.1011364856200303E-5</v>
      </c>
      <c r="R213" s="59">
        <f t="shared" si="87"/>
        <v>9.1921150726328862E-6</v>
      </c>
      <c r="S213" s="59">
        <f t="shared" si="88"/>
        <v>3.8737202978280271E-7</v>
      </c>
      <c r="T213" s="59">
        <f t="shared" si="89"/>
        <v>8.5865867380628916E-5</v>
      </c>
      <c r="U213" s="59">
        <f t="shared" si="90"/>
        <v>7.1235830908489045E-4</v>
      </c>
      <c r="V213" s="59">
        <f t="shared" si="91"/>
        <v>6.2949671519621367E-4</v>
      </c>
      <c r="W213" s="59">
        <f t="shared" si="92"/>
        <v>6.1912224204394885E-4</v>
      </c>
      <c r="X213" s="59">
        <f t="shared" si="93"/>
        <v>5.2436986148395536E-4</v>
      </c>
      <c r="Y213" s="60">
        <f t="shared" si="94"/>
        <v>4.040354657460502E-4</v>
      </c>
      <c r="Z213" s="60">
        <f t="shared" si="95"/>
        <v>2.7620397780196313E-4</v>
      </c>
      <c r="AB213" s="68"/>
      <c r="AC213" s="59">
        <f t="shared" si="96"/>
        <v>-1</v>
      </c>
      <c r="AD213" s="59" t="str">
        <f t="shared" si="96"/>
        <v/>
      </c>
      <c r="AE213" s="59">
        <f t="shared" si="96"/>
        <v>-0.84257272727272725</v>
      </c>
      <c r="AF213" s="59">
        <f t="shared" si="96"/>
        <v>-0.94704625512502161</v>
      </c>
      <c r="AG213" s="59">
        <f t="shared" si="96"/>
        <v>261.72300981461285</v>
      </c>
      <c r="AH213" s="59">
        <f t="shared" si="96"/>
        <v>7.8201206224550361</v>
      </c>
      <c r="AI213" s="59">
        <f t="shared" si="96"/>
        <v>0.18993485392605924</v>
      </c>
      <c r="AJ213" s="59">
        <f t="shared" si="83"/>
        <v>0.11708313282020955</v>
      </c>
      <c r="AK213" s="59">
        <f t="shared" si="83"/>
        <v>2.6015813442027635E-2</v>
      </c>
      <c r="AL213" s="60">
        <f t="shared" si="83"/>
        <v>-0.23851412515663162</v>
      </c>
      <c r="AM213" s="65">
        <f t="shared" si="97"/>
        <v>29.649781236633526</v>
      </c>
      <c r="AO213" s="68"/>
      <c r="AP213" s="59">
        <f t="shared" si="98"/>
        <v>-1</v>
      </c>
      <c r="AQ213" s="59">
        <f t="shared" si="99"/>
        <v>0</v>
      </c>
      <c r="AR213" s="59">
        <f t="shared" si="100"/>
        <v>-0.85285795613863657</v>
      </c>
      <c r="AS213" s="59">
        <f t="shared" si="101"/>
        <v>-0.95027350467182048</v>
      </c>
      <c r="AT213" s="59">
        <f t="shared" si="102"/>
        <v>248.03239736006219</v>
      </c>
      <c r="AU213" s="59">
        <f t="shared" si="103"/>
        <v>7.4119253743730553</v>
      </c>
      <c r="AV213" s="59">
        <f t="shared" si="104"/>
        <v>0.13891161363520221</v>
      </c>
      <c r="AW213" s="59">
        <f t="shared" si="105"/>
        <v>5.6943072022149321E-2</v>
      </c>
      <c r="AX213" s="59">
        <f t="shared" si="106"/>
        <v>-4.7073638486089253E-2</v>
      </c>
      <c r="AY213" s="59">
        <f t="shared" si="107"/>
        <v>-0.25344522074179576</v>
      </c>
      <c r="AZ213" s="65">
        <f t="shared" si="108"/>
        <v>25.253652710005422</v>
      </c>
    </row>
    <row r="214" spans="1:52" ht="38.25">
      <c r="A214" s="515" t="s">
        <v>235</v>
      </c>
      <c r="B214" s="495">
        <v>12838021</v>
      </c>
      <c r="C214" s="496">
        <v>50599615</v>
      </c>
      <c r="D214" s="496">
        <v>19503277</v>
      </c>
      <c r="E214" s="496">
        <v>19720390</v>
      </c>
      <c r="F214" s="496">
        <v>7303214</v>
      </c>
      <c r="G214" s="496">
        <v>21760661</v>
      </c>
      <c r="H214" s="496">
        <v>38038267</v>
      </c>
      <c r="I214" s="496">
        <v>45859900</v>
      </c>
      <c r="J214" s="496">
        <v>76882962</v>
      </c>
      <c r="K214" s="496">
        <v>141711852</v>
      </c>
      <c r="L214" s="497">
        <v>251777521</v>
      </c>
      <c r="M214" s="463"/>
      <c r="O214" s="58">
        <f t="shared" si="84"/>
        <v>3.3526978162114708E-3</v>
      </c>
      <c r="P214" s="59">
        <f t="shared" si="85"/>
        <v>8.446359892688108E-3</v>
      </c>
      <c r="Q214" s="59">
        <f t="shared" si="86"/>
        <v>1.808888688979163E-3</v>
      </c>
      <c r="R214" s="59">
        <f t="shared" si="87"/>
        <v>2.0935738771981154E-3</v>
      </c>
      <c r="S214" s="59">
        <f t="shared" si="88"/>
        <v>6.1702526305740062E-4</v>
      </c>
      <c r="T214" s="59">
        <f t="shared" si="89"/>
        <v>1.5511549882663523E-3</v>
      </c>
      <c r="U214" s="59">
        <f t="shared" si="90"/>
        <v>2.5503937857939479E-3</v>
      </c>
      <c r="V214" s="59">
        <f t="shared" si="91"/>
        <v>2.2834494972085438E-3</v>
      </c>
      <c r="W214" s="59">
        <f t="shared" si="92"/>
        <v>3.3704342382948785E-3</v>
      </c>
      <c r="X214" s="59">
        <f t="shared" si="93"/>
        <v>5.1282499753712895E-3</v>
      </c>
      <c r="Y214" s="60">
        <f t="shared" si="94"/>
        <v>9.2193410369391503E-3</v>
      </c>
      <c r="Z214" s="60">
        <f t="shared" si="95"/>
        <v>3.6746880963644019E-3</v>
      </c>
      <c r="AB214" s="68"/>
      <c r="AC214" s="59">
        <f t="shared" si="96"/>
        <v>2.9413874615098385</v>
      </c>
      <c r="AD214" s="59">
        <f t="shared" si="96"/>
        <v>-0.61455681036308274</v>
      </c>
      <c r="AE214" s="59">
        <f t="shared" si="96"/>
        <v>1.1132129231410604E-2</v>
      </c>
      <c r="AF214" s="59">
        <f t="shared" si="96"/>
        <v>-0.62966178660766858</v>
      </c>
      <c r="AG214" s="59">
        <f t="shared" si="96"/>
        <v>1.9796006251494207</v>
      </c>
      <c r="AH214" s="59">
        <f t="shared" si="96"/>
        <v>0.74802902356688517</v>
      </c>
      <c r="AI214" s="59">
        <f t="shared" si="96"/>
        <v>0.20562537720238416</v>
      </c>
      <c r="AJ214" s="59">
        <f t="shared" si="83"/>
        <v>0.67647469793872217</v>
      </c>
      <c r="AK214" s="59">
        <f t="shared" si="83"/>
        <v>0.84321530172055548</v>
      </c>
      <c r="AL214" s="60">
        <f t="shared" si="83"/>
        <v>0.77668640587662341</v>
      </c>
      <c r="AM214" s="65">
        <f t="shared" si="97"/>
        <v>0.69379324252250896</v>
      </c>
      <c r="AO214" s="68"/>
      <c r="AP214" s="59">
        <f t="shared" si="98"/>
        <v>2.6242643324228405</v>
      </c>
      <c r="AQ214" s="59">
        <f t="shared" si="99"/>
        <v>-0.6419478034027708</v>
      </c>
      <c r="AR214" s="59">
        <f t="shared" si="100"/>
        <v>-5.4928377202158596E-2</v>
      </c>
      <c r="AS214" s="59">
        <f t="shared" si="101"/>
        <v>-0.65223193408551849</v>
      </c>
      <c r="AT214" s="59">
        <f t="shared" si="102"/>
        <v>1.8243323163056604</v>
      </c>
      <c r="AU214" s="59">
        <f t="shared" si="103"/>
        <v>0.66713022734035721</v>
      </c>
      <c r="AV214" s="59">
        <f t="shared" si="104"/>
        <v>0.15392934265159286</v>
      </c>
      <c r="AW214" s="59">
        <f t="shared" si="105"/>
        <v>0.5862188456227857</v>
      </c>
      <c r="AX214" s="59">
        <f t="shared" si="106"/>
        <v>0.71191167615914885</v>
      </c>
      <c r="AY214" s="59">
        <f t="shared" si="107"/>
        <v>0.74184941752610145</v>
      </c>
      <c r="AZ214" s="65">
        <f t="shared" si="108"/>
        <v>0.59605280433380392</v>
      </c>
    </row>
    <row r="215" spans="1:52" ht="38.25">
      <c r="A215" s="515" t="s">
        <v>59</v>
      </c>
      <c r="B215" s="495">
        <v>202380752</v>
      </c>
      <c r="C215" s="496">
        <v>711964344</v>
      </c>
      <c r="D215" s="496">
        <v>774034385</v>
      </c>
      <c r="E215" s="496">
        <v>807351187</v>
      </c>
      <c r="F215" s="496">
        <v>888466129</v>
      </c>
      <c r="G215" s="496">
        <v>956856870</v>
      </c>
      <c r="H215" s="496">
        <v>1085871369</v>
      </c>
      <c r="I215" s="496">
        <v>1210815214</v>
      </c>
      <c r="J215" s="496">
        <v>2605438397</v>
      </c>
      <c r="K215" s="496">
        <v>2993198041.8600001</v>
      </c>
      <c r="L215" s="497">
        <v>3988784273.6599998</v>
      </c>
      <c r="M215" s="463"/>
      <c r="O215" s="58">
        <f t="shared" si="84"/>
        <v>5.2852500028909073E-2</v>
      </c>
      <c r="P215" s="59">
        <f t="shared" si="85"/>
        <v>0.11884491769721171</v>
      </c>
      <c r="Q215" s="59">
        <f t="shared" si="86"/>
        <v>7.1790091680872026E-2</v>
      </c>
      <c r="R215" s="59">
        <f t="shared" si="87"/>
        <v>8.5710746837567145E-2</v>
      </c>
      <c r="S215" s="59">
        <f t="shared" si="88"/>
        <v>7.5063670181897371E-2</v>
      </c>
      <c r="T215" s="59">
        <f t="shared" si="89"/>
        <v>6.8207179320399713E-2</v>
      </c>
      <c r="U215" s="59">
        <f t="shared" si="90"/>
        <v>7.2805619448151171E-2</v>
      </c>
      <c r="V215" s="59">
        <f t="shared" si="91"/>
        <v>6.028873572817986E-2</v>
      </c>
      <c r="W215" s="59">
        <f t="shared" si="92"/>
        <v>0.11421852840447178</v>
      </c>
      <c r="X215" s="59">
        <f t="shared" si="93"/>
        <v>0.10831745946309372</v>
      </c>
      <c r="Y215" s="60">
        <f t="shared" si="94"/>
        <v>0.14605736999710611</v>
      </c>
      <c r="Z215" s="60">
        <f t="shared" si="95"/>
        <v>8.8559710798896324E-2</v>
      </c>
      <c r="AB215" s="68"/>
      <c r="AC215" s="59">
        <f t="shared" si="96"/>
        <v>2.5179449476499625</v>
      </c>
      <c r="AD215" s="59">
        <f t="shared" si="96"/>
        <v>8.7181389802857945E-2</v>
      </c>
      <c r="AE215" s="59">
        <f t="shared" si="96"/>
        <v>4.3043051633939955E-2</v>
      </c>
      <c r="AF215" s="59">
        <f t="shared" si="96"/>
        <v>0.1004704561114369</v>
      </c>
      <c r="AG215" s="59">
        <f t="shared" si="96"/>
        <v>7.6976193878067312E-2</v>
      </c>
      <c r="AH215" s="59">
        <f t="shared" si="96"/>
        <v>0.13483155427415183</v>
      </c>
      <c r="AI215" s="59">
        <f t="shared" si="96"/>
        <v>0.1150632096645694</v>
      </c>
      <c r="AJ215" s="59">
        <f t="shared" si="83"/>
        <v>1.1518051366341684</v>
      </c>
      <c r="AK215" s="59">
        <f t="shared" si="83"/>
        <v>0.14882702477497878</v>
      </c>
      <c r="AL215" s="60">
        <f t="shared" si="83"/>
        <v>0.33261622447852912</v>
      </c>
      <c r="AM215" s="65">
        <f t="shared" si="97"/>
        <v>0.4708759188902662</v>
      </c>
      <c r="AO215" s="68"/>
      <c r="AP215" s="59">
        <f t="shared" si="98"/>
        <v>2.2348919058850232</v>
      </c>
      <c r="AQ215" s="59">
        <f t="shared" si="99"/>
        <v>9.9223314471508228E-3</v>
      </c>
      <c r="AR215" s="59">
        <f t="shared" si="100"/>
        <v>-2.5102297753117231E-2</v>
      </c>
      <c r="AS215" s="59">
        <f t="shared" si="101"/>
        <v>3.340262570329311E-2</v>
      </c>
      <c r="AT215" s="59">
        <f t="shared" si="102"/>
        <v>2.0854487204693406E-2</v>
      </c>
      <c r="AU215" s="59">
        <f t="shared" si="103"/>
        <v>8.2311541492369855E-2</v>
      </c>
      <c r="AV215" s="59">
        <f t="shared" si="104"/>
        <v>6.7250392098554324E-2</v>
      </c>
      <c r="AW215" s="59">
        <f t="shared" si="105"/>
        <v>1.0359590657906788</v>
      </c>
      <c r="AX215" s="59">
        <f t="shared" si="106"/>
        <v>6.698897072070098E-2</v>
      </c>
      <c r="AY215" s="59">
        <f t="shared" si="107"/>
        <v>0.30648649458679333</v>
      </c>
      <c r="AZ215" s="65">
        <f t="shared" si="108"/>
        <v>0.38329655171761401</v>
      </c>
    </row>
    <row r="216" spans="1:52">
      <c r="A216" s="515" t="s">
        <v>60</v>
      </c>
      <c r="B216" s="495">
        <v>137897067</v>
      </c>
      <c r="C216" s="496">
        <v>230856833</v>
      </c>
      <c r="D216" s="496">
        <v>328762017</v>
      </c>
      <c r="E216" s="496">
        <v>376243518</v>
      </c>
      <c r="F216" s="496">
        <v>452355942</v>
      </c>
      <c r="G216" s="496">
        <v>525422258</v>
      </c>
      <c r="H216" s="496">
        <v>627469299</v>
      </c>
      <c r="I216" s="496">
        <v>775876096</v>
      </c>
      <c r="J216" s="496">
        <v>1033711570</v>
      </c>
      <c r="K216" s="496">
        <v>1402497668.9300001</v>
      </c>
      <c r="L216" s="497">
        <v>1850600952.8699999</v>
      </c>
      <c r="M216" s="463"/>
      <c r="O216" s="58">
        <f t="shared" si="84"/>
        <v>3.6012341418733218E-2</v>
      </c>
      <c r="P216" s="59">
        <f t="shared" si="85"/>
        <v>3.8535864259129173E-2</v>
      </c>
      <c r="Q216" s="59">
        <f t="shared" si="86"/>
        <v>3.0491998545540591E-2</v>
      </c>
      <c r="R216" s="59">
        <f t="shared" si="87"/>
        <v>3.9943104611517267E-2</v>
      </c>
      <c r="S216" s="59">
        <f t="shared" si="88"/>
        <v>3.8218111109455132E-2</v>
      </c>
      <c r="T216" s="59">
        <f t="shared" si="89"/>
        <v>3.7453428296266841E-2</v>
      </c>
      <c r="U216" s="59">
        <f t="shared" si="90"/>
        <v>4.2070628531685854E-2</v>
      </c>
      <c r="V216" s="59">
        <f t="shared" si="91"/>
        <v>3.8632310173099545E-2</v>
      </c>
      <c r="W216" s="59">
        <f t="shared" si="92"/>
        <v>4.5316371500483461E-2</v>
      </c>
      <c r="X216" s="59">
        <f t="shared" si="93"/>
        <v>5.0753402306453269E-2</v>
      </c>
      <c r="Y216" s="60">
        <f t="shared" si="94"/>
        <v>6.7763481187794697E-2</v>
      </c>
      <c r="Z216" s="60">
        <f t="shared" si="95"/>
        <v>4.2290094721832643E-2</v>
      </c>
      <c r="AB216" s="68"/>
      <c r="AC216" s="59">
        <f t="shared" si="96"/>
        <v>0.67412431621914037</v>
      </c>
      <c r="AD216" s="59">
        <f t="shared" si="96"/>
        <v>0.42409480684507184</v>
      </c>
      <c r="AE216" s="59">
        <f t="shared" si="96"/>
        <v>0.14442514203214651</v>
      </c>
      <c r="AF216" s="59">
        <f t="shared" si="96"/>
        <v>0.20229564194113236</v>
      </c>
      <c r="AG216" s="59">
        <f t="shared" si="96"/>
        <v>0.16152394434557915</v>
      </c>
      <c r="AH216" s="59">
        <f t="shared" si="96"/>
        <v>0.19421910557888844</v>
      </c>
      <c r="AI216" s="59">
        <f t="shared" si="96"/>
        <v>0.23651642755512725</v>
      </c>
      <c r="AJ216" s="59">
        <f t="shared" si="83"/>
        <v>0.33231526957623925</v>
      </c>
      <c r="AK216" s="59">
        <f t="shared" si="83"/>
        <v>0.3567591866365587</v>
      </c>
      <c r="AL216" s="60">
        <f t="shared" si="83"/>
        <v>0.31950376379724665</v>
      </c>
      <c r="AM216" s="65">
        <f t="shared" si="97"/>
        <v>0.30457776045271306</v>
      </c>
      <c r="AO216" s="68"/>
      <c r="AP216" s="59">
        <f t="shared" si="98"/>
        <v>0.53942465859231303</v>
      </c>
      <c r="AQ216" s="59">
        <f t="shared" si="99"/>
        <v>0.32289345735724284</v>
      </c>
      <c r="AR216" s="59">
        <f t="shared" si="100"/>
        <v>6.96561753735363E-2</v>
      </c>
      <c r="AS216" s="59">
        <f t="shared" si="101"/>
        <v>0.12902210718483653</v>
      </c>
      <c r="AT216" s="59">
        <f t="shared" si="102"/>
        <v>0.10099641693205941</v>
      </c>
      <c r="AU216" s="59">
        <f t="shared" si="103"/>
        <v>0.13895063648052264</v>
      </c>
      <c r="AV216" s="59">
        <f t="shared" si="104"/>
        <v>0.18349581504127799</v>
      </c>
      <c r="AW216" s="59">
        <f t="shared" si="105"/>
        <v>0.26058782247728196</v>
      </c>
      <c r="AX216" s="59">
        <f t="shared" si="106"/>
        <v>0.26010883870767976</v>
      </c>
      <c r="AY216" s="59">
        <f t="shared" si="107"/>
        <v>0.29363114097769283</v>
      </c>
      <c r="AZ216" s="65">
        <f t="shared" si="108"/>
        <v>0.22987670691244438</v>
      </c>
    </row>
    <row r="217" spans="1:52" ht="51">
      <c r="A217" s="515" t="s">
        <v>61</v>
      </c>
      <c r="B217" s="495">
        <v>613987201</v>
      </c>
      <c r="C217" s="496">
        <v>1002076371</v>
      </c>
      <c r="D217" s="496">
        <v>1974863217</v>
      </c>
      <c r="E217" s="496">
        <v>1403579164</v>
      </c>
      <c r="F217" s="496">
        <v>2032830115</v>
      </c>
      <c r="G217" s="496">
        <v>2061976854</v>
      </c>
      <c r="H217" s="496">
        <v>2124245098</v>
      </c>
      <c r="I217" s="496">
        <v>2422301192</v>
      </c>
      <c r="J217" s="496">
        <v>2281902431.3000002</v>
      </c>
      <c r="K217" s="496">
        <v>2658559162.1100001</v>
      </c>
      <c r="L217" s="497">
        <v>2155023660.8299999</v>
      </c>
      <c r="M217" s="463"/>
      <c r="O217" s="58">
        <f t="shared" si="84"/>
        <v>0.16034508340300219</v>
      </c>
      <c r="P217" s="59">
        <f t="shared" si="85"/>
        <v>0.16727197765091392</v>
      </c>
      <c r="Q217" s="59">
        <f t="shared" si="86"/>
        <v>0.1831644874608663</v>
      </c>
      <c r="R217" s="59">
        <f t="shared" si="87"/>
        <v>0.14900804052708744</v>
      </c>
      <c r="S217" s="59">
        <f t="shared" si="88"/>
        <v>0.17174733431868228</v>
      </c>
      <c r="T217" s="59">
        <f t="shared" si="89"/>
        <v>0.14698292863308976</v>
      </c>
      <c r="U217" s="59">
        <f t="shared" si="90"/>
        <v>0.14242661205996729</v>
      </c>
      <c r="V217" s="59">
        <f t="shared" si="91"/>
        <v>0.12061087004027607</v>
      </c>
      <c r="W217" s="59">
        <f t="shared" si="92"/>
        <v>0.10003519483161753</v>
      </c>
      <c r="X217" s="59">
        <f t="shared" si="93"/>
        <v>9.6207591427241557E-2</v>
      </c>
      <c r="Y217" s="60">
        <f t="shared" si="94"/>
        <v>7.8910531778032936E-2</v>
      </c>
      <c r="Z217" s="60">
        <f t="shared" si="95"/>
        <v>0.13788278655734343</v>
      </c>
      <c r="AB217" s="68"/>
      <c r="AC217" s="59">
        <f t="shared" si="96"/>
        <v>0.63208022800462249</v>
      </c>
      <c r="AD217" s="59">
        <f t="shared" si="96"/>
        <v>0.97077116490555393</v>
      </c>
      <c r="AE217" s="59">
        <f t="shared" si="96"/>
        <v>-0.28927778292809225</v>
      </c>
      <c r="AF217" s="59">
        <f t="shared" si="96"/>
        <v>0.44831881744861812</v>
      </c>
      <c r="AG217" s="59">
        <f t="shared" si="96"/>
        <v>1.4338010237515686E-2</v>
      </c>
      <c r="AH217" s="59">
        <f t="shared" si="96"/>
        <v>3.0198323457999443E-2</v>
      </c>
      <c r="AI217" s="59">
        <f t="shared" si="96"/>
        <v>0.14031153668690255</v>
      </c>
      <c r="AJ217" s="59">
        <f t="shared" si="83"/>
        <v>-5.7960901461670877E-2</v>
      </c>
      <c r="AK217" s="59">
        <f t="shared" si="83"/>
        <v>0.1650625923543183</v>
      </c>
      <c r="AL217" s="60">
        <f t="shared" si="83"/>
        <v>-0.1894016535183527</v>
      </c>
      <c r="AM217" s="65">
        <f t="shared" si="97"/>
        <v>0.18644403351874145</v>
      </c>
      <c r="AO217" s="68"/>
      <c r="AP217" s="59">
        <f t="shared" si="98"/>
        <v>0.50076342805022778</v>
      </c>
      <c r="AQ217" s="59">
        <f t="shared" si="99"/>
        <v>0.83072100780822478</v>
      </c>
      <c r="AR217" s="59">
        <f t="shared" si="100"/>
        <v>-0.33571154587166308</v>
      </c>
      <c r="AS217" s="59">
        <f t="shared" si="101"/>
        <v>0.36005147661622527</v>
      </c>
      <c r="AT217" s="59">
        <f t="shared" si="102"/>
        <v>-3.8519592931239743E-2</v>
      </c>
      <c r="AU217" s="59">
        <f t="shared" si="103"/>
        <v>-1.7479262622510205E-2</v>
      </c>
      <c r="AV217" s="59">
        <f t="shared" si="104"/>
        <v>9.1416095603850112E-2</v>
      </c>
      <c r="AW217" s="59">
        <f t="shared" si="105"/>
        <v>-0.10867717046236236</v>
      </c>
      <c r="AX217" s="59">
        <f t="shared" si="106"/>
        <v>8.206797841025204E-2</v>
      </c>
      <c r="AY217" s="59">
        <f t="shared" si="107"/>
        <v>-0.20529573874348306</v>
      </c>
      <c r="AZ217" s="65">
        <f t="shared" si="108"/>
        <v>0.11593366758575216</v>
      </c>
    </row>
    <row r="218" spans="1:52" ht="51">
      <c r="A218" s="515" t="s">
        <v>236</v>
      </c>
      <c r="B218" s="495">
        <v>12632</v>
      </c>
      <c r="C218" s="496">
        <v>593</v>
      </c>
      <c r="D218" s="496">
        <v>628</v>
      </c>
      <c r="E218" s="496">
        <v>593</v>
      </c>
      <c r="F218" s="496">
        <v>593</v>
      </c>
      <c r="G218" s="496">
        <v>594</v>
      </c>
      <c r="H218" s="496">
        <v>112462</v>
      </c>
      <c r="I218" s="496">
        <v>128865</v>
      </c>
      <c r="J218" s="496">
        <v>963810</v>
      </c>
      <c r="K218" s="496">
        <v>957940</v>
      </c>
      <c r="L218" s="497">
        <v>5791173</v>
      </c>
      <c r="M218" s="463"/>
      <c r="O218" s="58">
        <f t="shared" si="84"/>
        <v>3.2988946516276379E-6</v>
      </c>
      <c r="P218" s="59">
        <f t="shared" si="85"/>
        <v>9.8986749530881765E-8</v>
      </c>
      <c r="Q218" s="59">
        <f t="shared" si="86"/>
        <v>5.8245703872170528E-8</v>
      </c>
      <c r="R218" s="59">
        <f t="shared" si="87"/>
        <v>6.2954602276044367E-8</v>
      </c>
      <c r="S218" s="59">
        <f t="shared" si="88"/>
        <v>5.0100679097317779E-8</v>
      </c>
      <c r="T218" s="59">
        <f t="shared" si="89"/>
        <v>4.2341823303539044E-8</v>
      </c>
      <c r="U218" s="59">
        <f t="shared" si="90"/>
        <v>7.5403641795237133E-6</v>
      </c>
      <c r="V218" s="59">
        <f t="shared" si="91"/>
        <v>6.4164274116990882E-6</v>
      </c>
      <c r="W218" s="59">
        <f t="shared" si="92"/>
        <v>4.2251991061569493E-5</v>
      </c>
      <c r="X218" s="59">
        <f t="shared" si="93"/>
        <v>3.4665807496518871E-5</v>
      </c>
      <c r="Y218" s="60">
        <f t="shared" si="94"/>
        <v>2.1205546340617918E-4</v>
      </c>
      <c r="Z218" s="60">
        <f t="shared" si="95"/>
        <v>2.7867416160472541E-5</v>
      </c>
      <c r="AB218" s="68"/>
      <c r="AC218" s="59">
        <f t="shared" si="96"/>
        <v>-0.95305573147561751</v>
      </c>
      <c r="AD218" s="59">
        <f t="shared" si="96"/>
        <v>5.9021922428330598E-2</v>
      </c>
      <c r="AE218" s="59">
        <f t="shared" si="96"/>
        <v>-5.5732484076433164E-2</v>
      </c>
      <c r="AF218" s="59">
        <f t="shared" si="96"/>
        <v>0</v>
      </c>
      <c r="AG218" s="59">
        <f t="shared" si="96"/>
        <v>1.6863406408094139E-3</v>
      </c>
      <c r="AH218" s="59">
        <f t="shared" si="96"/>
        <v>188.32996632996634</v>
      </c>
      <c r="AI218" s="59">
        <f t="shared" si="96"/>
        <v>0.14585371058668706</v>
      </c>
      <c r="AJ218" s="59">
        <f t="shared" si="83"/>
        <v>6.4792224420905598</v>
      </c>
      <c r="AK218" s="59">
        <f t="shared" si="83"/>
        <v>-6.0904120106659576E-3</v>
      </c>
      <c r="AL218" s="60">
        <f t="shared" si="83"/>
        <v>5.0454443910892124</v>
      </c>
      <c r="AM218" s="65">
        <f t="shared" si="97"/>
        <v>19.904631650923921</v>
      </c>
      <c r="AO218" s="68"/>
      <c r="AP218" s="59">
        <f t="shared" si="98"/>
        <v>-0.9568328565293035</v>
      </c>
      <c r="AQ218" s="59">
        <f t="shared" si="99"/>
        <v>-1.6236021896581021E-2</v>
      </c>
      <c r="AR218" s="59">
        <f t="shared" si="100"/>
        <v>-0.11742451077337435</v>
      </c>
      <c r="AS218" s="59">
        <f t="shared" si="101"/>
        <v>-6.0944689642219885E-2</v>
      </c>
      <c r="AT218" s="59">
        <f t="shared" si="102"/>
        <v>-5.0511978419280568E-2</v>
      </c>
      <c r="AU218" s="59">
        <f t="shared" si="103"/>
        <v>179.5677740784615</v>
      </c>
      <c r="AV218" s="59">
        <f t="shared" si="104"/>
        <v>9.6720626518651542E-2</v>
      </c>
      <c r="AW218" s="59">
        <f t="shared" si="105"/>
        <v>6.0765658454825999</v>
      </c>
      <c r="AX218" s="59">
        <f t="shared" si="106"/>
        <v>-7.6892738934397631E-2</v>
      </c>
      <c r="AY218" s="59">
        <f t="shared" si="107"/>
        <v>4.9269062657737379</v>
      </c>
      <c r="AZ218" s="65">
        <f t="shared" si="108"/>
        <v>18.938912402004135</v>
      </c>
    </row>
    <row r="219" spans="1:52" ht="38.25">
      <c r="A219" s="515" t="s">
        <v>62</v>
      </c>
      <c r="B219" s="495">
        <v>-52240011</v>
      </c>
      <c r="C219" s="496">
        <v>133074465</v>
      </c>
      <c r="D219" s="496">
        <v>-41528344</v>
      </c>
      <c r="E219" s="496">
        <v>193144660</v>
      </c>
      <c r="F219" s="496">
        <v>348667452</v>
      </c>
      <c r="G219" s="496">
        <v>381688670</v>
      </c>
      <c r="H219" s="496">
        <v>536646108</v>
      </c>
      <c r="I219" s="496">
        <v>586093199</v>
      </c>
      <c r="J219" s="496">
        <v>799392911.14999998</v>
      </c>
      <c r="K219" s="496">
        <v>968094159.37</v>
      </c>
      <c r="L219" s="497">
        <v>825215681.58000004</v>
      </c>
      <c r="M219" s="463"/>
      <c r="O219" s="58">
        <f t="shared" si="84"/>
        <v>-1.3642676764476645E-2</v>
      </c>
      <c r="P219" s="59">
        <f t="shared" si="85"/>
        <v>2.2213505456848383E-2</v>
      </c>
      <c r="Q219" s="59">
        <f t="shared" si="86"/>
        <v>-3.8516681957414486E-3</v>
      </c>
      <c r="R219" s="59">
        <f t="shared" si="87"/>
        <v>2.050479806415146E-2</v>
      </c>
      <c r="S219" s="59">
        <f t="shared" si="88"/>
        <v>2.945780122146956E-2</v>
      </c>
      <c r="T219" s="59">
        <f t="shared" si="89"/>
        <v>2.7207734380644485E-2</v>
      </c>
      <c r="U219" s="59">
        <f t="shared" si="90"/>
        <v>3.5981105527591671E-2</v>
      </c>
      <c r="V219" s="59">
        <f t="shared" si="91"/>
        <v>2.9182667658976515E-2</v>
      </c>
      <c r="W219" s="59">
        <f t="shared" si="92"/>
        <v>3.5044191424234872E-2</v>
      </c>
      <c r="X219" s="59">
        <f t="shared" si="93"/>
        <v>3.5033264888432142E-2</v>
      </c>
      <c r="Y219" s="60">
        <f t="shared" si="94"/>
        <v>3.021693424932961E-2</v>
      </c>
      <c r="Z219" s="60">
        <f t="shared" si="95"/>
        <v>2.2486150719223691E-2</v>
      </c>
      <c r="AB219" s="68"/>
      <c r="AC219" s="59">
        <f t="shared" si="96"/>
        <v>-3.547366710929674</v>
      </c>
      <c r="AD219" s="59">
        <f t="shared" si="96"/>
        <v>-1.3120684648253143</v>
      </c>
      <c r="AE219" s="59">
        <f t="shared" si="96"/>
        <v>-5.6509116761313667</v>
      </c>
      <c r="AF219" s="59">
        <f t="shared" si="96"/>
        <v>0.80521404008788022</v>
      </c>
      <c r="AG219" s="59">
        <f t="shared" si="96"/>
        <v>9.470691287811972E-2</v>
      </c>
      <c r="AH219" s="59">
        <f t="shared" si="96"/>
        <v>0.4059786160275598</v>
      </c>
      <c r="AI219" s="59">
        <f t="shared" si="96"/>
        <v>9.2140966388970735E-2</v>
      </c>
      <c r="AJ219" s="59">
        <f t="shared" si="83"/>
        <v>0.36393480169013182</v>
      </c>
      <c r="AK219" s="59">
        <f t="shared" si="83"/>
        <v>0.21103670781531925</v>
      </c>
      <c r="AL219" s="60">
        <f t="shared" si="83"/>
        <v>-0.14758737712350212</v>
      </c>
      <c r="AM219" s="65">
        <f t="shared" si="97"/>
        <v>-0.86849221841218738</v>
      </c>
      <c r="AO219" s="68"/>
      <c r="AP219" s="59">
        <f t="shared" si="98"/>
        <v>-3.3424061709698152</v>
      </c>
      <c r="AQ219" s="59">
        <f t="shared" si="99"/>
        <v>-1.2898917462380997</v>
      </c>
      <c r="AR219" s="59">
        <f t="shared" si="100"/>
        <v>-5.347052692897809</v>
      </c>
      <c r="AS219" s="59">
        <f t="shared" si="101"/>
        <v>0.69519583067694657</v>
      </c>
      <c r="AT219" s="59">
        <f t="shared" si="102"/>
        <v>3.7661250581134675E-2</v>
      </c>
      <c r="AU219" s="59">
        <f t="shared" si="103"/>
        <v>0.34090991520886482</v>
      </c>
      <c r="AV219" s="59">
        <f t="shared" si="104"/>
        <v>4.5311032148708685E-2</v>
      </c>
      <c r="AW219" s="59">
        <f t="shared" si="105"/>
        <v>0.29050506357283745</v>
      </c>
      <c r="AX219" s="59">
        <f t="shared" si="106"/>
        <v>0.12476707329369296</v>
      </c>
      <c r="AY219" s="59">
        <f t="shared" si="107"/>
        <v>-0.16430135012108049</v>
      </c>
      <c r="AZ219" s="65">
        <f t="shared" si="108"/>
        <v>-0.86093017947446193</v>
      </c>
    </row>
    <row r="220" spans="1:52" ht="38.25">
      <c r="A220" s="515" t="s">
        <v>237</v>
      </c>
      <c r="B220" s="495"/>
      <c r="C220" s="496"/>
      <c r="D220" s="496"/>
      <c r="E220" s="496"/>
      <c r="F220" s="496"/>
      <c r="G220" s="496"/>
      <c r="H220" s="496"/>
      <c r="I220" s="496"/>
      <c r="J220" s="496">
        <v>667486033</v>
      </c>
      <c r="K220" s="496">
        <v>1161230196.1400001</v>
      </c>
      <c r="L220" s="497">
        <v>1049706448.61</v>
      </c>
      <c r="M220" s="463"/>
      <c r="O220" s="58">
        <f t="shared" si="84"/>
        <v>0</v>
      </c>
      <c r="P220" s="59">
        <f t="shared" si="85"/>
        <v>0</v>
      </c>
      <c r="Q220" s="59">
        <f t="shared" si="86"/>
        <v>0</v>
      </c>
      <c r="R220" s="59">
        <f t="shared" si="87"/>
        <v>0</v>
      </c>
      <c r="S220" s="59">
        <f t="shared" si="88"/>
        <v>0</v>
      </c>
      <c r="T220" s="59">
        <f t="shared" si="89"/>
        <v>0</v>
      </c>
      <c r="U220" s="59">
        <f t="shared" si="90"/>
        <v>0</v>
      </c>
      <c r="V220" s="59">
        <f t="shared" si="91"/>
        <v>0</v>
      </c>
      <c r="W220" s="59">
        <f t="shared" si="92"/>
        <v>2.926159087375985E-2</v>
      </c>
      <c r="X220" s="59">
        <f t="shared" si="93"/>
        <v>4.202244654000678E-2</v>
      </c>
      <c r="Y220" s="60">
        <f t="shared" si="94"/>
        <v>3.8437115831360613E-2</v>
      </c>
      <c r="Z220" s="60">
        <f t="shared" si="95"/>
        <v>9.9746502950115671E-3</v>
      </c>
      <c r="AB220" s="68"/>
      <c r="AC220" s="59" t="str">
        <f t="shared" si="96"/>
        <v/>
      </c>
      <c r="AD220" s="59" t="str">
        <f t="shared" si="96"/>
        <v/>
      </c>
      <c r="AE220" s="59" t="str">
        <f t="shared" si="96"/>
        <v/>
      </c>
      <c r="AF220" s="59" t="str">
        <f t="shared" si="96"/>
        <v/>
      </c>
      <c r="AG220" s="59" t="str">
        <f t="shared" si="96"/>
        <v/>
      </c>
      <c r="AH220" s="59" t="str">
        <f t="shared" si="96"/>
        <v/>
      </c>
      <c r="AI220" s="59" t="str">
        <f t="shared" si="96"/>
        <v/>
      </c>
      <c r="AJ220" s="59" t="str">
        <f t="shared" si="83"/>
        <v/>
      </c>
      <c r="AK220" s="59">
        <f t="shared" si="83"/>
        <v>0.73970710805869411</v>
      </c>
      <c r="AL220" s="60">
        <f t="shared" si="83"/>
        <v>-9.6039310638589837E-2</v>
      </c>
      <c r="AM220" s="65">
        <f t="shared" si="97"/>
        <v>0.32183389871005214</v>
      </c>
      <c r="AO220" s="68"/>
      <c r="AP220" s="59">
        <f t="shared" si="98"/>
        <v>0</v>
      </c>
      <c r="AQ220" s="59">
        <f t="shared" si="99"/>
        <v>0</v>
      </c>
      <c r="AR220" s="59">
        <f t="shared" si="100"/>
        <v>0</v>
      </c>
      <c r="AS220" s="59">
        <f t="shared" si="101"/>
        <v>0</v>
      </c>
      <c r="AT220" s="59">
        <f t="shared" si="102"/>
        <v>0</v>
      </c>
      <c r="AU220" s="59">
        <f t="shared" si="103"/>
        <v>0</v>
      </c>
      <c r="AV220" s="59">
        <f t="shared" si="104"/>
        <v>0</v>
      </c>
      <c r="AW220" s="59">
        <f t="shared" si="105"/>
        <v>0</v>
      </c>
      <c r="AX220" s="59">
        <f t="shared" si="106"/>
        <v>0.61577701129255513</v>
      </c>
      <c r="AY220" s="59">
        <f t="shared" si="107"/>
        <v>-0.1137640300378332</v>
      </c>
      <c r="AZ220" s="65">
        <f t="shared" si="108"/>
        <v>5.0201298125472194E-2</v>
      </c>
    </row>
    <row r="221" spans="1:52" ht="25.5">
      <c r="A221" s="515" t="s">
        <v>63</v>
      </c>
      <c r="B221" s="495"/>
      <c r="C221" s="496"/>
      <c r="D221" s="496"/>
      <c r="E221" s="496"/>
      <c r="F221" s="496"/>
      <c r="G221" s="496"/>
      <c r="H221" s="496"/>
      <c r="I221" s="496"/>
      <c r="J221" s="496">
        <v>442046937.77999997</v>
      </c>
      <c r="K221" s="496">
        <v>530684199.08999997</v>
      </c>
      <c r="L221" s="497">
        <v>592187584.20000005</v>
      </c>
      <c r="M221" s="463"/>
      <c r="O221" s="58">
        <f t="shared" si="84"/>
        <v>0</v>
      </c>
      <c r="P221" s="59">
        <f t="shared" si="85"/>
        <v>0</v>
      </c>
      <c r="Q221" s="59">
        <f t="shared" si="86"/>
        <v>0</v>
      </c>
      <c r="R221" s="59">
        <f t="shared" si="87"/>
        <v>0</v>
      </c>
      <c r="S221" s="59">
        <f t="shared" si="88"/>
        <v>0</v>
      </c>
      <c r="T221" s="59">
        <f t="shared" si="89"/>
        <v>0</v>
      </c>
      <c r="U221" s="59">
        <f t="shared" si="90"/>
        <v>0</v>
      </c>
      <c r="V221" s="59">
        <f t="shared" si="91"/>
        <v>0</v>
      </c>
      <c r="W221" s="59">
        <f t="shared" si="92"/>
        <v>1.9378677606452229E-2</v>
      </c>
      <c r="X221" s="59">
        <f t="shared" si="93"/>
        <v>1.9204330424763799E-2</v>
      </c>
      <c r="Y221" s="60">
        <f t="shared" si="94"/>
        <v>2.1684141121482082E-2</v>
      </c>
      <c r="Z221" s="60">
        <f t="shared" si="95"/>
        <v>5.478831741154374E-3</v>
      </c>
      <c r="AB221" s="68"/>
      <c r="AC221" s="59" t="str">
        <f t="shared" si="96"/>
        <v/>
      </c>
      <c r="AD221" s="59" t="str">
        <f t="shared" si="96"/>
        <v/>
      </c>
      <c r="AE221" s="59" t="str">
        <f t="shared" si="96"/>
        <v/>
      </c>
      <c r="AF221" s="59" t="str">
        <f t="shared" si="96"/>
        <v/>
      </c>
      <c r="AG221" s="59" t="str">
        <f t="shared" si="96"/>
        <v/>
      </c>
      <c r="AH221" s="59" t="str">
        <f t="shared" si="96"/>
        <v/>
      </c>
      <c r="AI221" s="59" t="str">
        <f t="shared" si="96"/>
        <v/>
      </c>
      <c r="AJ221" s="59" t="str">
        <f t="shared" si="83"/>
        <v/>
      </c>
      <c r="AK221" s="59">
        <f t="shared" si="83"/>
        <v>0.20051549673694025</v>
      </c>
      <c r="AL221" s="60">
        <f t="shared" si="83"/>
        <v>0.11589450979596538</v>
      </c>
      <c r="AM221" s="65">
        <f t="shared" si="97"/>
        <v>0.15820500326645281</v>
      </c>
      <c r="AO221" s="68"/>
      <c r="AP221" s="59">
        <f t="shared" si="98"/>
        <v>0</v>
      </c>
      <c r="AQ221" s="59">
        <f t="shared" si="99"/>
        <v>0</v>
      </c>
      <c r="AR221" s="59">
        <f t="shared" si="100"/>
        <v>0</v>
      </c>
      <c r="AS221" s="59">
        <f t="shared" si="101"/>
        <v>0</v>
      </c>
      <c r="AT221" s="59">
        <f t="shared" si="102"/>
        <v>0</v>
      </c>
      <c r="AU221" s="59">
        <f t="shared" si="103"/>
        <v>0</v>
      </c>
      <c r="AV221" s="59">
        <f t="shared" si="104"/>
        <v>0</v>
      </c>
      <c r="AW221" s="59">
        <f t="shared" si="105"/>
        <v>0</v>
      </c>
      <c r="AX221" s="59">
        <f t="shared" si="106"/>
        <v>0.1149953531503114</v>
      </c>
      <c r="AY221" s="59">
        <f t="shared" si="107"/>
        <v>9.4014225290162123E-2</v>
      </c>
      <c r="AZ221" s="65">
        <f t="shared" si="108"/>
        <v>2.0900957844047351E-2</v>
      </c>
    </row>
    <row r="222" spans="1:52" ht="51">
      <c r="A222" s="515" t="s">
        <v>64</v>
      </c>
      <c r="B222" s="495">
        <v>-107892301</v>
      </c>
      <c r="C222" s="496">
        <v>-154837661</v>
      </c>
      <c r="D222" s="496">
        <v>-39048649</v>
      </c>
      <c r="E222" s="496">
        <v>-159478504</v>
      </c>
      <c r="F222" s="496">
        <v>-179034455</v>
      </c>
      <c r="G222" s="496">
        <v>203208219</v>
      </c>
      <c r="H222" s="496">
        <v>177955029</v>
      </c>
      <c r="I222" s="496">
        <v>94252545</v>
      </c>
      <c r="J222" s="496">
        <v>225122896.22</v>
      </c>
      <c r="K222" s="496">
        <v>628509438.04999995</v>
      </c>
      <c r="L222" s="497">
        <v>450239677.41000003</v>
      </c>
      <c r="M222" s="463"/>
      <c r="O222" s="58">
        <f t="shared" si="84"/>
        <v>-2.8176483115951494E-2</v>
      </c>
      <c r="P222" s="59">
        <f t="shared" si="85"/>
        <v>-2.5846335189468092E-2</v>
      </c>
      <c r="Q222" s="59">
        <f t="shared" si="86"/>
        <v>-3.6216816023285471E-3</v>
      </c>
      <c r="R222" s="59">
        <f t="shared" si="87"/>
        <v>-1.6930701165090302E-2</v>
      </c>
      <c r="S222" s="59">
        <f t="shared" si="88"/>
        <v>-1.5126050214701823E-2</v>
      </c>
      <c r="T222" s="59">
        <f t="shared" si="89"/>
        <v>1.4485196132533443E-2</v>
      </c>
      <c r="U222" s="59">
        <f t="shared" si="90"/>
        <v>1.1931547778251353E-2</v>
      </c>
      <c r="V222" s="59">
        <f t="shared" si="91"/>
        <v>4.6930090665456238E-3</v>
      </c>
      <c r="W222" s="59">
        <f t="shared" si="92"/>
        <v>9.869051575354143E-3</v>
      </c>
      <c r="X222" s="59">
        <f t="shared" si="93"/>
        <v>2.2744417384373293E-2</v>
      </c>
      <c r="Y222" s="60">
        <f t="shared" si="94"/>
        <v>1.6486432616850882E-2</v>
      </c>
      <c r="Z222" s="60">
        <f t="shared" si="95"/>
        <v>-8.6287243033013859E-4</v>
      </c>
      <c r="AB222" s="68"/>
      <c r="AC222" s="59">
        <f t="shared" si="96"/>
        <v>0.43511315974251019</v>
      </c>
      <c r="AD222" s="59">
        <f t="shared" si="96"/>
        <v>-0.74780910052626015</v>
      </c>
      <c r="AE222" s="59">
        <f t="shared" si="96"/>
        <v>3.0840978646918105</v>
      </c>
      <c r="AF222" s="59">
        <f t="shared" si="96"/>
        <v>0.12262436948869304</v>
      </c>
      <c r="AG222" s="59">
        <f t="shared" si="96"/>
        <v>-2.1350229708577606</v>
      </c>
      <c r="AH222" s="59">
        <f t="shared" si="96"/>
        <v>-0.12427248328966456</v>
      </c>
      <c r="AI222" s="59">
        <f t="shared" si="96"/>
        <v>-0.47035750813201238</v>
      </c>
      <c r="AJ222" s="59">
        <f t="shared" si="83"/>
        <v>1.3885073471490874</v>
      </c>
      <c r="AK222" s="59">
        <f t="shared" si="83"/>
        <v>1.7918503564195127</v>
      </c>
      <c r="AL222" s="60">
        <f t="shared" si="83"/>
        <v>-0.28363895567439035</v>
      </c>
      <c r="AM222" s="65">
        <f t="shared" si="97"/>
        <v>0.30610920790115259</v>
      </c>
      <c r="AO222" s="68"/>
      <c r="AP222" s="59">
        <f t="shared" si="98"/>
        <v>0.31964428482069907</v>
      </c>
      <c r="AQ222" s="59">
        <f t="shared" si="99"/>
        <v>-0.76573070183581993</v>
      </c>
      <c r="AR222" s="59">
        <f t="shared" si="100"/>
        <v>2.8172706465013646</v>
      </c>
      <c r="AS222" s="59">
        <f t="shared" si="101"/>
        <v>5.4206375705411869E-2</v>
      </c>
      <c r="AT222" s="59">
        <f t="shared" si="102"/>
        <v>-2.0758764209153275</v>
      </c>
      <c r="AU222" s="59">
        <f t="shared" si="103"/>
        <v>-0.1648011592837002</v>
      </c>
      <c r="AV222" s="59">
        <f t="shared" si="104"/>
        <v>-0.49306805908500417</v>
      </c>
      <c r="AW222" s="59">
        <f t="shared" si="105"/>
        <v>1.2599180122519513</v>
      </c>
      <c r="AX222" s="59">
        <f t="shared" si="106"/>
        <v>1.5929695889472582</v>
      </c>
      <c r="AY222" s="59">
        <f t="shared" si="107"/>
        <v>-0.29768525066116702</v>
      </c>
      <c r="AZ222" s="65">
        <f t="shared" si="108"/>
        <v>0.22468473164456665</v>
      </c>
    </row>
    <row r="223" spans="1:52" ht="51">
      <c r="A223" s="515" t="s">
        <v>238</v>
      </c>
      <c r="B223" s="495">
        <v>389169035</v>
      </c>
      <c r="C223" s="496">
        <v>609965436</v>
      </c>
      <c r="D223" s="496">
        <v>1903129942</v>
      </c>
      <c r="E223" s="496">
        <v>1059271428</v>
      </c>
      <c r="F223" s="496">
        <v>1188975359</v>
      </c>
      <c r="G223" s="496">
        <v>1420294257</v>
      </c>
      <c r="H223" s="496">
        <v>1679315691</v>
      </c>
      <c r="I223" s="496">
        <v>2017629016</v>
      </c>
      <c r="J223" s="496">
        <v>2347049848</v>
      </c>
      <c r="K223" s="496">
        <v>2622651138.4699998</v>
      </c>
      <c r="L223" s="497">
        <v>2940958124.46</v>
      </c>
      <c r="M223" s="463"/>
      <c r="O223" s="58">
        <f t="shared" si="84"/>
        <v>0.10163296771220623</v>
      </c>
      <c r="P223" s="59">
        <f t="shared" si="85"/>
        <v>0.10181871135889897</v>
      </c>
      <c r="Q223" s="59">
        <f t="shared" si="86"/>
        <v>0.17651137425476604</v>
      </c>
      <c r="R223" s="59">
        <f t="shared" si="87"/>
        <v>0.11245533128518982</v>
      </c>
      <c r="S223" s="59">
        <f t="shared" si="88"/>
        <v>0.10045273678900034</v>
      </c>
      <c r="T223" s="59">
        <f t="shared" si="89"/>
        <v>0.10124216913960483</v>
      </c>
      <c r="U223" s="59">
        <f t="shared" si="90"/>
        <v>0.11259493769031774</v>
      </c>
      <c r="V223" s="59">
        <f t="shared" si="91"/>
        <v>0.10046149167657516</v>
      </c>
      <c r="W223" s="59">
        <f t="shared" si="92"/>
        <v>0.10289116028963596</v>
      </c>
      <c r="X223" s="59">
        <f t="shared" si="93"/>
        <v>9.4908156561712712E-2</v>
      </c>
      <c r="Y223" s="60">
        <f t="shared" si="94"/>
        <v>0.10768910511575683</v>
      </c>
      <c r="Z223" s="60">
        <f t="shared" si="95"/>
        <v>0.11024164926124223</v>
      </c>
      <c r="AB223" s="68"/>
      <c r="AC223" s="59">
        <f t="shared" si="96"/>
        <v>0.56735346634143191</v>
      </c>
      <c r="AD223" s="59">
        <f t="shared" si="96"/>
        <v>2.1200619406900296</v>
      </c>
      <c r="AE223" s="59">
        <f t="shared" si="96"/>
        <v>-0.44340562111759363</v>
      </c>
      <c r="AF223" s="59">
        <f t="shared" si="96"/>
        <v>0.12244636036760914</v>
      </c>
      <c r="AG223" s="59">
        <f t="shared" si="96"/>
        <v>0.1945531471691333</v>
      </c>
      <c r="AH223" s="59">
        <f t="shared" si="96"/>
        <v>0.18237166891536627</v>
      </c>
      <c r="AI223" s="59">
        <f t="shared" si="96"/>
        <v>0.20145903882940619</v>
      </c>
      <c r="AJ223" s="59">
        <f t="shared" si="83"/>
        <v>0.1632712601710522</v>
      </c>
      <c r="AK223" s="59">
        <f t="shared" si="83"/>
        <v>0.11742455777189775</v>
      </c>
      <c r="AL223" s="60">
        <f t="shared" si="83"/>
        <v>0.12136840516870806</v>
      </c>
      <c r="AM223" s="65">
        <f t="shared" si="97"/>
        <v>0.33469042243070407</v>
      </c>
      <c r="AO223" s="68"/>
      <c r="AP223" s="59">
        <f t="shared" si="98"/>
        <v>0.44124456675074208</v>
      </c>
      <c r="AQ223" s="59">
        <f t="shared" si="99"/>
        <v>1.89833900667908</v>
      </c>
      <c r="AR223" s="59">
        <f t="shared" si="100"/>
        <v>-0.4797697178405399</v>
      </c>
      <c r="AS223" s="59">
        <f t="shared" si="101"/>
        <v>5.4039215294965803E-2</v>
      </c>
      <c r="AT223" s="59">
        <f t="shared" si="102"/>
        <v>0.13230445336116992</v>
      </c>
      <c r="AU223" s="59">
        <f t="shared" si="103"/>
        <v>0.12765149927400454</v>
      </c>
      <c r="AV223" s="59">
        <f t="shared" si="104"/>
        <v>0.14994165278465377</v>
      </c>
      <c r="AW223" s="59">
        <f t="shared" si="105"/>
        <v>0.10064458337690629</v>
      </c>
      <c r="AX223" s="59">
        <f t="shared" si="106"/>
        <v>3.7823495655147976E-2</v>
      </c>
      <c r="AY223" s="59">
        <f t="shared" si="107"/>
        <v>9.9380789381086299E-2</v>
      </c>
      <c r="AZ223" s="65">
        <f t="shared" si="108"/>
        <v>0.25615995447172168</v>
      </c>
    </row>
    <row r="224" spans="1:52" ht="25.5">
      <c r="A224" s="515" t="s">
        <v>65</v>
      </c>
      <c r="B224" s="495">
        <v>1573598413</v>
      </c>
      <c r="C224" s="496">
        <v>2983607894</v>
      </c>
      <c r="D224" s="496">
        <v>5517778149</v>
      </c>
      <c r="E224" s="496">
        <v>4275439170</v>
      </c>
      <c r="F224" s="496">
        <v>5735414580</v>
      </c>
      <c r="G224" s="496">
        <v>6337151509</v>
      </c>
      <c r="H224" s="496">
        <v>7113900999</v>
      </c>
      <c r="I224" s="496">
        <v>8987654443</v>
      </c>
      <c r="J224" s="496">
        <v>10488756040.07</v>
      </c>
      <c r="K224" s="496">
        <v>13264417555.799999</v>
      </c>
      <c r="L224" s="497">
        <v>14348737366.809999</v>
      </c>
      <c r="M224" s="463"/>
      <c r="O224" s="58">
        <f t="shared" si="84"/>
        <v>0.41095118654650403</v>
      </c>
      <c r="P224" s="59">
        <f t="shared" si="85"/>
        <v>0.498039877405969</v>
      </c>
      <c r="Q224" s="59">
        <f t="shared" si="86"/>
        <v>0.51176253518947012</v>
      </c>
      <c r="R224" s="59">
        <f t="shared" si="87"/>
        <v>0.45389303963367827</v>
      </c>
      <c r="S224" s="59">
        <f t="shared" si="88"/>
        <v>0.48456688931308201</v>
      </c>
      <c r="T224" s="59">
        <f t="shared" si="89"/>
        <v>0.45172819771352496</v>
      </c>
      <c r="U224" s="59">
        <f t="shared" si="90"/>
        <v>0.47697359347635254</v>
      </c>
      <c r="V224" s="59">
        <f t="shared" si="91"/>
        <v>0.44751198801027664</v>
      </c>
      <c r="W224" s="59">
        <f t="shared" si="92"/>
        <v>0.45981140105624618</v>
      </c>
      <c r="X224" s="59">
        <f t="shared" si="93"/>
        <v>0.48001100856296652</v>
      </c>
      <c r="Y224" s="60">
        <f t="shared" si="94"/>
        <v>0.52540791850156321</v>
      </c>
      <c r="Z224" s="60">
        <f t="shared" si="95"/>
        <v>0.47278705776451208</v>
      </c>
      <c r="AB224" s="68"/>
      <c r="AC224" s="59">
        <f t="shared" si="96"/>
        <v>0.89604149912166942</v>
      </c>
      <c r="AD224" s="59">
        <f t="shared" si="96"/>
        <v>0.84936437529079689</v>
      </c>
      <c r="AE224" s="59">
        <f t="shared" si="96"/>
        <v>-0.22515203501343239</v>
      </c>
      <c r="AF224" s="59">
        <f t="shared" si="96"/>
        <v>0.34147963564641248</v>
      </c>
      <c r="AG224" s="59">
        <f t="shared" si="96"/>
        <v>0.10491603015034356</v>
      </c>
      <c r="AH224" s="59">
        <f t="shared" si="96"/>
        <v>0.12257076209979556</v>
      </c>
      <c r="AI224" s="59">
        <f t="shared" si="96"/>
        <v>0.2633932415229554</v>
      </c>
      <c r="AJ224" s="59">
        <f t="shared" si="83"/>
        <v>0.16701816993410623</v>
      </c>
      <c r="AK224" s="59">
        <f t="shared" si="83"/>
        <v>0.26463209794623799</v>
      </c>
      <c r="AL224" s="60">
        <f t="shared" si="83"/>
        <v>8.1746507635826804E-2</v>
      </c>
      <c r="AM224" s="65">
        <f t="shared" si="97"/>
        <v>0.28660102843347124</v>
      </c>
      <c r="AO224" s="68"/>
      <c r="AP224" s="59">
        <f t="shared" si="98"/>
        <v>0.74348643597394903</v>
      </c>
      <c r="AQ224" s="59">
        <f t="shared" si="99"/>
        <v>0.71794182563009468</v>
      </c>
      <c r="AR224" s="59">
        <f t="shared" si="100"/>
        <v>-0.27577533882926675</v>
      </c>
      <c r="AS224" s="59">
        <f t="shared" si="101"/>
        <v>0.25972357559058357</v>
      </c>
      <c r="AT224" s="59">
        <f t="shared" si="102"/>
        <v>4.7338366228621975E-2</v>
      </c>
      <c r="AU224" s="59">
        <f t="shared" si="103"/>
        <v>7.0618178871136861E-2</v>
      </c>
      <c r="AV224" s="59">
        <f t="shared" si="104"/>
        <v>0.209220177567913</v>
      </c>
      <c r="AW224" s="59">
        <f t="shared" si="105"/>
        <v>0.10418977191229661</v>
      </c>
      <c r="AX224" s="59">
        <f t="shared" si="106"/>
        <v>0.17454453231748679</v>
      </c>
      <c r="AY224" s="59">
        <f t="shared" si="107"/>
        <v>6.0535791799830152E-2</v>
      </c>
      <c r="AZ224" s="65">
        <f t="shared" si="108"/>
        <v>0.21118233170626458</v>
      </c>
    </row>
    <row r="225" spans="1:52" ht="39" thickBot="1">
      <c r="A225" s="516" t="s">
        <v>66</v>
      </c>
      <c r="B225" s="498">
        <v>3829161381</v>
      </c>
      <c r="C225" s="499">
        <v>5990700802</v>
      </c>
      <c r="D225" s="499">
        <v>10781911083</v>
      </c>
      <c r="E225" s="499">
        <v>9419486080</v>
      </c>
      <c r="F225" s="499">
        <v>11836166902</v>
      </c>
      <c r="G225" s="499">
        <v>14028682608</v>
      </c>
      <c r="H225" s="499">
        <v>14914664240</v>
      </c>
      <c r="I225" s="499">
        <v>20083605993</v>
      </c>
      <c r="J225" s="499">
        <v>22813032577.360001</v>
      </c>
      <c r="K225" s="499">
        <v>27633569475.98</v>
      </c>
      <c r="L225" s="500">
        <v>27309709007.869999</v>
      </c>
      <c r="M225" s="463"/>
      <c r="O225" s="61">
        <f t="shared" si="84"/>
        <v>1</v>
      </c>
      <c r="P225" s="62">
        <f t="shared" si="85"/>
        <v>0.99999999966614928</v>
      </c>
      <c r="Q225" s="62">
        <f t="shared" si="86"/>
        <v>1.0000000001854958</v>
      </c>
      <c r="R225" s="62">
        <f t="shared" si="87"/>
        <v>0.99999999968151132</v>
      </c>
      <c r="S225" s="62">
        <f t="shared" si="88"/>
        <v>0.99999999949307916</v>
      </c>
      <c r="T225" s="62">
        <f t="shared" si="89"/>
        <v>1.0000000002851301</v>
      </c>
      <c r="U225" s="62">
        <f t="shared" si="90"/>
        <v>0.99999999986590382</v>
      </c>
      <c r="V225" s="62">
        <f t="shared" si="91"/>
        <v>1.0000000001493756</v>
      </c>
      <c r="W225" s="62">
        <f t="shared" si="92"/>
        <v>1.0000892795736798</v>
      </c>
      <c r="X225" s="62">
        <f t="shared" si="93"/>
        <v>0.9999999998914364</v>
      </c>
      <c r="Y225" s="63">
        <f t="shared" si="94"/>
        <v>0.99999999985353194</v>
      </c>
      <c r="Z225" s="63">
        <f t="shared" si="95"/>
        <v>1.0000081162404812</v>
      </c>
      <c r="AB225" s="69"/>
      <c r="AC225" s="62">
        <f>+IF(B225=0,"",C225/B225-1)</f>
        <v>0.56449420798125405</v>
      </c>
      <c r="AD225" s="62">
        <f t="shared" si="96"/>
        <v>0.79977459054547517</v>
      </c>
      <c r="AE225" s="62">
        <f t="shared" si="96"/>
        <v>-0.12636210709882001</v>
      </c>
      <c r="AF225" s="62">
        <f t="shared" si="96"/>
        <v>0.25656185501789075</v>
      </c>
      <c r="AG225" s="62">
        <f t="shared" si="96"/>
        <v>0.18523866080576501</v>
      </c>
      <c r="AH225" s="62">
        <f t="shared" si="96"/>
        <v>6.3155012965705026E-2</v>
      </c>
      <c r="AI225" s="62">
        <f t="shared" si="96"/>
        <v>0.34656775840365817</v>
      </c>
      <c r="AJ225" s="62">
        <f t="shared" si="83"/>
        <v>0.13590321306399478</v>
      </c>
      <c r="AK225" s="62">
        <f t="shared" si="83"/>
        <v>0.21130627338883357</v>
      </c>
      <c r="AL225" s="63">
        <f>+IF(K225=0,"",L225/K225-1)</f>
        <v>-1.1719820285667759E-2</v>
      </c>
      <c r="AM225" s="66">
        <f t="shared" si="97"/>
        <v>0.24249196447880891</v>
      </c>
      <c r="AO225" s="69"/>
      <c r="AP225" s="59">
        <f t="shared" si="98"/>
        <v>0.43861536366092335</v>
      </c>
      <c r="AQ225" s="62">
        <f t="shared" si="99"/>
        <v>0.67187607110587577</v>
      </c>
      <c r="AR225" s="62">
        <f t="shared" si="100"/>
        <v>-0.18343967389365368</v>
      </c>
      <c r="AS225" s="62">
        <f t="shared" si="101"/>
        <v>0.17998108274757318</v>
      </c>
      <c r="AT225" s="62">
        <f t="shared" si="102"/>
        <v>0.12347534900946489</v>
      </c>
      <c r="AU225" s="62">
        <f t="shared" si="103"/>
        <v>1.3952191049382723E-2</v>
      </c>
      <c r="AV225" s="62">
        <f t="shared" si="104"/>
        <v>0.28882825268344003</v>
      </c>
      <c r="AW225" s="62">
        <f t="shared" si="105"/>
        <v>7.4749941398424502E-2</v>
      </c>
      <c r="AX225" s="62">
        <f t="shared" si="106"/>
        <v>0.12501743604424043</v>
      </c>
      <c r="AY225" s="62">
        <f t="shared" si="107"/>
        <v>-3.1097863025164485E-2</v>
      </c>
      <c r="AZ225" s="66">
        <f t="shared" si="108"/>
        <v>0.17019581507805065</v>
      </c>
    </row>
    <row r="227" spans="1:52" ht="15.75" thickBot="1"/>
    <row r="228" spans="1:52" ht="15.75" customHeight="1" thickBot="1">
      <c r="A228" s="670" t="s">
        <v>83</v>
      </c>
      <c r="B228" s="671"/>
      <c r="C228" s="671"/>
      <c r="D228" s="671"/>
      <c r="E228" s="671"/>
      <c r="F228" s="671"/>
      <c r="G228" s="671"/>
      <c r="H228" s="671"/>
      <c r="I228" s="671"/>
      <c r="J228" s="671"/>
      <c r="K228" s="671"/>
      <c r="L228" s="672"/>
      <c r="M228" s="124"/>
      <c r="O228" s="670" t="s">
        <v>262</v>
      </c>
      <c r="P228" s="685"/>
      <c r="Q228" s="685"/>
      <c r="R228" s="685"/>
      <c r="S228" s="685"/>
      <c r="T228" s="685"/>
      <c r="U228" s="685"/>
      <c r="V228" s="685"/>
      <c r="W228" s="685"/>
      <c r="X228" s="685"/>
      <c r="Y228" s="685"/>
      <c r="Z228" s="686"/>
      <c r="AB228" s="670" t="s">
        <v>263</v>
      </c>
      <c r="AC228" s="685"/>
      <c r="AD228" s="685"/>
      <c r="AE228" s="685"/>
      <c r="AF228" s="685"/>
      <c r="AG228" s="685"/>
      <c r="AH228" s="685"/>
      <c r="AI228" s="685"/>
      <c r="AJ228" s="685"/>
      <c r="AK228" s="685"/>
      <c r="AL228" s="685"/>
      <c r="AM228" s="686"/>
      <c r="AO228" s="670" t="s">
        <v>270</v>
      </c>
      <c r="AP228" s="685"/>
      <c r="AQ228" s="685"/>
      <c r="AR228" s="685"/>
      <c r="AS228" s="685"/>
      <c r="AT228" s="685"/>
      <c r="AU228" s="685"/>
      <c r="AV228" s="685"/>
      <c r="AW228" s="685"/>
      <c r="AX228" s="685"/>
      <c r="AY228" s="685"/>
      <c r="AZ228" s="686"/>
    </row>
    <row r="229" spans="1:52" ht="25.5">
      <c r="A229" s="505" t="s">
        <v>67</v>
      </c>
      <c r="B229" s="9">
        <v>5314516520</v>
      </c>
      <c r="C229" s="10">
        <v>8498079383</v>
      </c>
      <c r="D229" s="10">
        <v>12297660873</v>
      </c>
      <c r="E229" s="10">
        <v>13289030927</v>
      </c>
      <c r="F229" s="10">
        <v>17918528035</v>
      </c>
      <c r="G229" s="10">
        <v>20482200507</v>
      </c>
      <c r="H229" s="10">
        <v>24042308662</v>
      </c>
      <c r="I229" s="10">
        <v>29540830525</v>
      </c>
      <c r="J229" s="10">
        <v>33117605691.73</v>
      </c>
      <c r="K229" s="10">
        <v>47840317517.660004</v>
      </c>
      <c r="L229" s="22">
        <v>37306178802.480003</v>
      </c>
      <c r="M229" s="463"/>
      <c r="O229" s="92">
        <f>B229/$B$229</f>
        <v>1</v>
      </c>
      <c r="P229" s="93">
        <f>C229/$C$229</f>
        <v>1</v>
      </c>
      <c r="Q229" s="93">
        <f>D229/$D$229</f>
        <v>1</v>
      </c>
      <c r="R229" s="93">
        <f>E229/$E$229</f>
        <v>1</v>
      </c>
      <c r="S229" s="93">
        <f>F229/$F$229</f>
        <v>1</v>
      </c>
      <c r="T229" s="93">
        <f>G229/$G$229</f>
        <v>1</v>
      </c>
      <c r="U229" s="93">
        <f>H229/$H$229</f>
        <v>1</v>
      </c>
      <c r="V229" s="93">
        <f>I229/$I$229</f>
        <v>1</v>
      </c>
      <c r="W229" s="93">
        <f>J229/$J$229</f>
        <v>1</v>
      </c>
      <c r="X229" s="93">
        <f>K229/$K$229</f>
        <v>1</v>
      </c>
      <c r="Y229" s="94">
        <f>L229/$L$229</f>
        <v>1</v>
      </c>
      <c r="Z229" s="57">
        <f>AVERAGE(O229:Y229)</f>
        <v>1</v>
      </c>
      <c r="AB229" s="67"/>
      <c r="AC229" s="56">
        <f>+IF(B229=0,"",C229/B229-1)</f>
        <v>0.59903151133680166</v>
      </c>
      <c r="AD229" s="56">
        <f t="shared" ref="AD229:AL240" si="109">+IF(C229=0,"",D229/C229-1)</f>
        <v>0.44711061391128926</v>
      </c>
      <c r="AE229" s="56">
        <f t="shared" si="109"/>
        <v>8.061452208172315E-2</v>
      </c>
      <c r="AF229" s="56">
        <f t="shared" si="109"/>
        <v>0.34836980464798351</v>
      </c>
      <c r="AG229" s="56">
        <f t="shared" si="109"/>
        <v>0.14307383212462632</v>
      </c>
      <c r="AH229" s="56">
        <f t="shared" si="109"/>
        <v>0.17381473019870586</v>
      </c>
      <c r="AI229" s="56">
        <f t="shared" si="109"/>
        <v>0.22870190796987289</v>
      </c>
      <c r="AJ229" s="56">
        <f t="shared" si="109"/>
        <v>0.12107903207741644</v>
      </c>
      <c r="AK229" s="56">
        <f t="shared" si="109"/>
        <v>0.44455846122977727</v>
      </c>
      <c r="AL229" s="57">
        <f t="shared" si="109"/>
        <v>-0.22019374581473838</v>
      </c>
      <c r="AM229" s="57">
        <f>AVERAGE(AB229:AL229)</f>
        <v>0.2366160669763458</v>
      </c>
      <c r="AO229" s="67"/>
      <c r="AP229" s="56">
        <f>IF(AC229="",,(((AC229+1)/($C$273+1))-1))</f>
        <v>0.47037380352809355</v>
      </c>
      <c r="AQ229" s="56">
        <f>IF(AD229="",,(((AD229+1)/($D$273+1))-1))</f>
        <v>0.34427367757667371</v>
      </c>
      <c r="AR229" s="56">
        <f>IF(AE229="",,(((AE229+1)/($E$273+1))-1))</f>
        <v>1.0014507974318132E-2</v>
      </c>
      <c r="AS229" s="56">
        <f>IF(AF229="",,(((AF229+1)/($F$273+1))-1))</f>
        <v>0.26619382538077141</v>
      </c>
      <c r="AT229" s="56">
        <f>IF(AG229="",,(((AG229+1)/($G$273+1))-1))</f>
        <v>8.3507748234223467E-2</v>
      </c>
      <c r="AU229" s="56">
        <f>IF(AH229="",,(((AH229+1)/($H$273+1))-1))</f>
        <v>0.1194905757448661</v>
      </c>
      <c r="AV229" s="56">
        <f>IF(AI229="",,(((AI229+1)/($I$273+1))-1))</f>
        <v>0.17601637439689211</v>
      </c>
      <c r="AW229" s="56">
        <f>IF(AJ229="",,(((AJ229+1)/($J$273+1))-1))</f>
        <v>6.0723845280931554E-2</v>
      </c>
      <c r="AX229" s="56">
        <f>IF(AK229="",,(((AK229+1)/($K$273+1))-1))</f>
        <v>0.34165362796487164</v>
      </c>
      <c r="AY229" s="57">
        <f>IF(AL229="",,(((AL229+1)/($L$273+1))-1))</f>
        <v>-0.2354840645242533</v>
      </c>
      <c r="AZ229" s="57">
        <f>AVERAGE(AO229:AY229)</f>
        <v>0.16367639215573884</v>
      </c>
    </row>
    <row r="230" spans="1:52" ht="63.75">
      <c r="A230" s="506" t="s">
        <v>68</v>
      </c>
      <c r="B230" s="12">
        <v>4045886999</v>
      </c>
      <c r="C230" s="2">
        <v>6583463068</v>
      </c>
      <c r="D230" s="2">
        <v>9684912629</v>
      </c>
      <c r="E230" s="2">
        <v>10279971940</v>
      </c>
      <c r="F230" s="2">
        <v>13703860075</v>
      </c>
      <c r="G230" s="2">
        <v>15717289091</v>
      </c>
      <c r="H230" s="2">
        <v>18478407599</v>
      </c>
      <c r="I230" s="2">
        <v>22816907074</v>
      </c>
      <c r="J230" s="2">
        <v>25137724967</v>
      </c>
      <c r="K230" s="2">
        <v>37669973184.580002</v>
      </c>
      <c r="L230" s="23">
        <v>28133223852.369999</v>
      </c>
      <c r="M230" s="463"/>
      <c r="O230" s="95">
        <f>B230/$B$229</f>
        <v>0.76128975867780346</v>
      </c>
      <c r="P230" s="96">
        <f t="shared" ref="P230:P240" si="110">C230/$C$229</f>
        <v>0.77470011414224982</v>
      </c>
      <c r="Q230" s="96">
        <f t="shared" ref="Q230:Q240" si="111">D230/$D$229</f>
        <v>0.78754103963491207</v>
      </c>
      <c r="R230" s="96">
        <f t="shared" ref="R230:R240" si="112">E230/$E$229</f>
        <v>0.77356821550574151</v>
      </c>
      <c r="S230" s="96">
        <f t="shared" ref="S230:S240" si="113">F230/$F$229</f>
        <v>0.76478715485069138</v>
      </c>
      <c r="T230" s="96">
        <f t="shared" ref="T230:T240" si="114">G230/$G$229</f>
        <v>0.76736330579463163</v>
      </c>
      <c r="U230" s="96">
        <f t="shared" ref="U230:U240" si="115">H230/$H$229</f>
        <v>0.76857875251414576</v>
      </c>
      <c r="V230" s="96">
        <f t="shared" ref="V230:V240" si="116">I230/$I$229</f>
        <v>0.77238542953930711</v>
      </c>
      <c r="W230" s="96">
        <f t="shared" ref="W230:W240" si="117">J230/$J$229</f>
        <v>0.7590441531610268</v>
      </c>
      <c r="X230" s="96">
        <f t="shared" ref="X230:X240" si="118">K230/$K$229</f>
        <v>0.78741060133378771</v>
      </c>
      <c r="Y230" s="97">
        <f t="shared" ref="Y230:Y240" si="119">L230/$L$229</f>
        <v>0.75411700569289575</v>
      </c>
      <c r="Z230" s="60">
        <f t="shared" ref="Z230:Z240" si="120">AVERAGE(O230:Y230)</f>
        <v>0.77007141189519934</v>
      </c>
      <c r="AB230" s="68"/>
      <c r="AC230" s="59">
        <f t="shared" ref="AC230:AC240" si="121">+IF(B230=0,"",C230/B230-1)</f>
        <v>0.62719894787649744</v>
      </c>
      <c r="AD230" s="59">
        <f t="shared" si="109"/>
        <v>0.47109697874286005</v>
      </c>
      <c r="AE230" s="59">
        <f t="shared" si="109"/>
        <v>6.1441887376266546E-2</v>
      </c>
      <c r="AF230" s="59">
        <f t="shared" si="109"/>
        <v>0.33306395727379767</v>
      </c>
      <c r="AG230" s="59">
        <f t="shared" si="109"/>
        <v>0.1469242246331095</v>
      </c>
      <c r="AH230" s="59">
        <f t="shared" si="109"/>
        <v>0.17567396591191198</v>
      </c>
      <c r="AI230" s="59">
        <f t="shared" si="109"/>
        <v>0.23478751898701411</v>
      </c>
      <c r="AJ230" s="59">
        <f t="shared" si="109"/>
        <v>0.10171483301716155</v>
      </c>
      <c r="AK230" s="59">
        <f t="shared" si="109"/>
        <v>0.49854345347607776</v>
      </c>
      <c r="AL230" s="60">
        <f t="shared" si="109"/>
        <v>-0.25316581154652429</v>
      </c>
      <c r="AM230" s="60">
        <f t="shared" ref="AM230:AM240" si="122">AVERAGE(AB230:AL230)</f>
        <v>0.23972799557481722</v>
      </c>
      <c r="AO230" s="68"/>
      <c r="AP230" s="59">
        <f t="shared" ref="AP230:AP240" si="123">IF(AC230="",,(((AC230+1)/($C$273+1))-1))</f>
        <v>0.49627489459907825</v>
      </c>
      <c r="AQ230" s="59">
        <f t="shared" ref="AQ230:AQ240" si="124">IF(AD230="",,(((AD230+1)/($D$273+1))-1))</f>
        <v>0.36655548420144912</v>
      </c>
      <c r="AR230" s="59">
        <f t="shared" ref="AR230:AR240" si="125">IF(AE230="",,(((AE230+1)/($E$273+1))-1))</f>
        <v>-7.9055169863851971E-3</v>
      </c>
      <c r="AS230" s="59">
        <f>IF(AF230="",,(((AF230+1)/($F$273+1))-1))</f>
        <v>0.25182078812451669</v>
      </c>
      <c r="AT230" s="59">
        <f t="shared" ref="AT230:AT240" si="126">IF(AG230="",,(((AG230+1)/($G$273+1))-1))</f>
        <v>8.7157495082972769E-2</v>
      </c>
      <c r="AU230" s="59">
        <f t="shared" ref="AU230:AU240" si="127">IF(AH230="",,(((AH230+1)/($H$273+1))-1))</f>
        <v>0.12126376601542121</v>
      </c>
      <c r="AV230" s="59">
        <f t="shared" ref="AV230:AV240" si="128">IF(AI230="",,(((AI230+1)/($I$273+1))-1))</f>
        <v>0.18184104037807636</v>
      </c>
      <c r="AW230" s="59">
        <f t="shared" ref="AW230:AW240" si="129">IF(AJ230="",,(((AJ230+1)/($J$273+1))-1))</f>
        <v>4.2402150645436176E-2</v>
      </c>
      <c r="AX230" s="59">
        <f t="shared" ref="AX230:AX240" si="130">IF(AK230="",,(((AK230+1)/($K$273+1))-1))</f>
        <v>0.39179293533582027</v>
      </c>
      <c r="AY230" s="60">
        <f t="shared" ref="AY230:AY240" si="131">IF(AL230="",,(((AL230+1)/($L$273+1))-1))</f>
        <v>-0.26780961916325907</v>
      </c>
      <c r="AZ230" s="60">
        <f t="shared" ref="AZ230:AZ240" si="132">AVERAGE(AO230:AY230)</f>
        <v>0.16633934182331267</v>
      </c>
    </row>
    <row r="231" spans="1:52" ht="25.5">
      <c r="A231" s="506" t="s">
        <v>69</v>
      </c>
      <c r="B231" s="12">
        <v>1268629521</v>
      </c>
      <c r="C231" s="2">
        <v>1914616315</v>
      </c>
      <c r="D231" s="2">
        <v>2612748244</v>
      </c>
      <c r="E231" s="2">
        <v>3009058987</v>
      </c>
      <c r="F231" s="2">
        <v>4214667960</v>
      </c>
      <c r="G231" s="2">
        <v>4764911416</v>
      </c>
      <c r="H231" s="2">
        <v>5563901063</v>
      </c>
      <c r="I231" s="2">
        <v>6723923451</v>
      </c>
      <c r="J231" s="2">
        <v>7979880724.7299995</v>
      </c>
      <c r="K231" s="2">
        <v>10170344333.08</v>
      </c>
      <c r="L231" s="23">
        <v>9172954950.1100006</v>
      </c>
      <c r="M231" s="463"/>
      <c r="O231" s="95">
        <f t="shared" ref="O231:O240" si="133">B231/$B$229</f>
        <v>0.23871024132219651</v>
      </c>
      <c r="P231" s="96">
        <f t="shared" si="110"/>
        <v>0.22529988585775018</v>
      </c>
      <c r="Q231" s="96">
        <f t="shared" si="111"/>
        <v>0.21245896036508796</v>
      </c>
      <c r="R231" s="96">
        <f t="shared" si="112"/>
        <v>0.22643178449425849</v>
      </c>
      <c r="S231" s="96">
        <f t="shared" si="113"/>
        <v>0.2352128451493086</v>
      </c>
      <c r="T231" s="96">
        <f t="shared" si="114"/>
        <v>0.23263669420536837</v>
      </c>
      <c r="U231" s="96">
        <f t="shared" si="115"/>
        <v>0.23142124748585427</v>
      </c>
      <c r="V231" s="96">
        <f t="shared" si="116"/>
        <v>0.22761457046069289</v>
      </c>
      <c r="W231" s="96">
        <f t="shared" si="117"/>
        <v>0.24095584683897317</v>
      </c>
      <c r="X231" s="96">
        <f t="shared" si="118"/>
        <v>0.21258939866621224</v>
      </c>
      <c r="Y231" s="97">
        <f t="shared" si="119"/>
        <v>0.24588299430710417</v>
      </c>
      <c r="Z231" s="60">
        <f t="shared" si="120"/>
        <v>0.22992858810480063</v>
      </c>
      <c r="AB231" s="68"/>
      <c r="AC231" s="59">
        <f t="shared" si="121"/>
        <v>0.50920050598444178</v>
      </c>
      <c r="AD231" s="59">
        <f t="shared" si="109"/>
        <v>0.36463281103921852</v>
      </c>
      <c r="AE231" s="59">
        <f t="shared" si="109"/>
        <v>0.15168347884649847</v>
      </c>
      <c r="AF231" s="59">
        <f t="shared" si="109"/>
        <v>0.40065980035904158</v>
      </c>
      <c r="AG231" s="59">
        <f t="shared" si="109"/>
        <v>0.13055440220254022</v>
      </c>
      <c r="AH231" s="59">
        <f t="shared" si="109"/>
        <v>0.16768195192823288</v>
      </c>
      <c r="AI231" s="59">
        <f t="shared" si="109"/>
        <v>0.20849083671062396</v>
      </c>
      <c r="AJ231" s="59">
        <f t="shared" si="109"/>
        <v>0.18678934745207587</v>
      </c>
      <c r="AK231" s="59">
        <f t="shared" si="109"/>
        <v>0.27449828937438348</v>
      </c>
      <c r="AL231" s="60">
        <f t="shared" si="109"/>
        <v>-9.8068398699727055E-2</v>
      </c>
      <c r="AM231" s="60">
        <f t="shared" si="122"/>
        <v>0.22961230251973297</v>
      </c>
      <c r="AO231" s="68"/>
      <c r="AP231" s="59">
        <f t="shared" si="123"/>
        <v>0.38777058021557886</v>
      </c>
      <c r="AQ231" s="59">
        <f t="shared" si="124"/>
        <v>0.26765704694771797</v>
      </c>
      <c r="AR231" s="59">
        <f t="shared" si="125"/>
        <v>7.6440301753900819E-2</v>
      </c>
      <c r="AS231" s="59">
        <f t="shared" ref="AS231:AS240" si="134">IF(AF231="",,(((AF231+1)/($F$273+1))-1))</f>
        <v>0.3152970235318262</v>
      </c>
      <c r="AT231" s="59">
        <f t="shared" si="126"/>
        <v>7.1640711352762843E-2</v>
      </c>
      <c r="AU231" s="59">
        <f t="shared" si="127"/>
        <v>0.11364162249841558</v>
      </c>
      <c r="AV231" s="59">
        <f t="shared" si="128"/>
        <v>0.15667193406453284</v>
      </c>
      <c r="AW231" s="59">
        <f t="shared" si="129"/>
        <v>0.12289653463154115</v>
      </c>
      <c r="AX231" s="59">
        <f t="shared" si="130"/>
        <v>0.18370789391138054</v>
      </c>
      <c r="AY231" s="60">
        <f t="shared" si="131"/>
        <v>-0.11575333205855598</v>
      </c>
      <c r="AZ231" s="60">
        <f t="shared" si="132"/>
        <v>0.15799703168491008</v>
      </c>
    </row>
    <row r="232" spans="1:52" ht="63.75">
      <c r="A232" s="506" t="s">
        <v>70</v>
      </c>
      <c r="B232" s="12">
        <v>447574745</v>
      </c>
      <c r="C232" s="2">
        <v>732855857</v>
      </c>
      <c r="D232" s="2">
        <v>895762658</v>
      </c>
      <c r="E232" s="2">
        <v>861801329</v>
      </c>
      <c r="F232" s="2">
        <v>1462601222</v>
      </c>
      <c r="G232" s="2">
        <v>1756484714</v>
      </c>
      <c r="H232" s="2">
        <v>1512148140</v>
      </c>
      <c r="I232" s="2">
        <v>1875232035</v>
      </c>
      <c r="J232" s="2">
        <v>2233436237.3200002</v>
      </c>
      <c r="K232" s="2">
        <v>3012535825.9299998</v>
      </c>
      <c r="L232" s="23">
        <v>2450085803.96</v>
      </c>
      <c r="M232" s="463"/>
      <c r="O232" s="95">
        <f t="shared" si="133"/>
        <v>8.4217396505524456E-2</v>
      </c>
      <c r="P232" s="96">
        <f t="shared" si="110"/>
        <v>8.6237821979639653E-2</v>
      </c>
      <c r="Q232" s="96">
        <f t="shared" si="111"/>
        <v>7.2840084569796709E-2</v>
      </c>
      <c r="R232" s="96">
        <f t="shared" si="112"/>
        <v>6.4850577422393862E-2</v>
      </c>
      <c r="S232" s="96">
        <f t="shared" si="113"/>
        <v>8.1625076520968814E-2</v>
      </c>
      <c r="T232" s="96">
        <f t="shared" si="114"/>
        <v>8.5756640913641269E-2</v>
      </c>
      <c r="U232" s="96">
        <f t="shared" si="115"/>
        <v>6.2895296839359738E-2</v>
      </c>
      <c r="V232" s="96">
        <f t="shared" si="116"/>
        <v>6.3479326805419942E-2</v>
      </c>
      <c r="W232" s="96">
        <f t="shared" si="117"/>
        <v>6.7439544335106488E-2</v>
      </c>
      <c r="X232" s="96">
        <f t="shared" si="118"/>
        <v>6.2970648654619363E-2</v>
      </c>
      <c r="Y232" s="97">
        <f t="shared" si="119"/>
        <v>6.567506731075673E-2</v>
      </c>
      <c r="Z232" s="60">
        <f t="shared" si="120"/>
        <v>7.2544316532475187E-2</v>
      </c>
      <c r="AB232" s="68"/>
      <c r="AC232" s="59">
        <f t="shared" si="121"/>
        <v>0.63739322914656404</v>
      </c>
      <c r="AD232" s="59">
        <f t="shared" si="109"/>
        <v>0.22229037189778511</v>
      </c>
      <c r="AE232" s="59">
        <f t="shared" si="109"/>
        <v>-3.7913311854087084E-2</v>
      </c>
      <c r="AF232" s="59">
        <f t="shared" si="109"/>
        <v>0.69714431015921541</v>
      </c>
      <c r="AG232" s="59">
        <f t="shared" si="109"/>
        <v>0.20093207060099116</v>
      </c>
      <c r="AH232" s="59">
        <f t="shared" si="109"/>
        <v>-0.13910543715668222</v>
      </c>
      <c r="AI232" s="59">
        <f t="shared" si="109"/>
        <v>0.24011132599746476</v>
      </c>
      <c r="AJ232" s="59">
        <f t="shared" si="109"/>
        <v>0.19101860230326118</v>
      </c>
      <c r="AK232" s="59">
        <f t="shared" si="109"/>
        <v>0.34883448902256364</v>
      </c>
      <c r="AL232" s="60">
        <f t="shared" si="109"/>
        <v>-0.18670318113025786</v>
      </c>
      <c r="AM232" s="60">
        <f t="shared" si="122"/>
        <v>0.21740024689868181</v>
      </c>
      <c r="AO232" s="68"/>
      <c r="AP232" s="59">
        <f t="shared" si="123"/>
        <v>0.50564894634166824</v>
      </c>
      <c r="AQ232" s="59">
        <f t="shared" si="124"/>
        <v>0.13542997853951233</v>
      </c>
      <c r="AR232" s="59">
        <f t="shared" si="125"/>
        <v>-0.1007695222488898</v>
      </c>
      <c r="AS232" s="59">
        <f t="shared" si="134"/>
        <v>0.59371237689850265</v>
      </c>
      <c r="AT232" s="59">
        <f t="shared" si="126"/>
        <v>0.13835096826647941</v>
      </c>
      <c r="AU232" s="59">
        <f t="shared" si="127"/>
        <v>-0.17894764393530582</v>
      </c>
      <c r="AV232" s="59">
        <f t="shared" si="128"/>
        <v>0.18693656776173895</v>
      </c>
      <c r="AW232" s="59">
        <f t="shared" si="129"/>
        <v>0.12689810039101257</v>
      </c>
      <c r="AX232" s="59">
        <f t="shared" si="130"/>
        <v>0.25274866631611737</v>
      </c>
      <c r="AY232" s="60">
        <f t="shared" si="131"/>
        <v>-0.2026501775786842</v>
      </c>
      <c r="AZ232" s="60">
        <f t="shared" si="132"/>
        <v>0.14573582607521515</v>
      </c>
    </row>
    <row r="233" spans="1:52" ht="51">
      <c r="A233" s="506" t="s">
        <v>71</v>
      </c>
      <c r="B233" s="12">
        <v>786594089</v>
      </c>
      <c r="C233" s="2">
        <v>994030836</v>
      </c>
      <c r="D233" s="2">
        <v>1584261813</v>
      </c>
      <c r="E233" s="2">
        <v>1876543468</v>
      </c>
      <c r="F233" s="2">
        <v>2240569813</v>
      </c>
      <c r="G233" s="2">
        <v>2621112336</v>
      </c>
      <c r="H233" s="2">
        <v>3332993465</v>
      </c>
      <c r="I233" s="2">
        <v>4180389281</v>
      </c>
      <c r="J233" s="2">
        <v>4620121659</v>
      </c>
      <c r="K233" s="2">
        <v>5807988147.4300003</v>
      </c>
      <c r="L233" s="23">
        <v>5597277751.6999998</v>
      </c>
      <c r="M233" s="463"/>
      <c r="O233" s="95">
        <f t="shared" si="133"/>
        <v>0.14800858855924678</v>
      </c>
      <c r="P233" s="96">
        <f t="shared" si="110"/>
        <v>0.1169712344636967</v>
      </c>
      <c r="Q233" s="96">
        <f t="shared" si="111"/>
        <v>0.12882627268396296</v>
      </c>
      <c r="R233" s="96">
        <f t="shared" si="112"/>
        <v>0.14120995566255559</v>
      </c>
      <c r="S233" s="96">
        <f t="shared" si="113"/>
        <v>0.12504206866900716</v>
      </c>
      <c r="T233" s="96">
        <f>G233/$G$229</f>
        <v>0.12797025080895036</v>
      </c>
      <c r="U233" s="96">
        <f t="shared" si="115"/>
        <v>0.13863034169709137</v>
      </c>
      <c r="V233" s="96">
        <f t="shared" si="116"/>
        <v>0.14151224615916583</v>
      </c>
      <c r="W233" s="96">
        <f t="shared" si="117"/>
        <v>0.13950651209527865</v>
      </c>
      <c r="X233" s="96">
        <f t="shared" si="118"/>
        <v>0.12140362875488885</v>
      </c>
      <c r="Y233" s="97">
        <f t="shared" si="119"/>
        <v>0.15003621199949616</v>
      </c>
      <c r="Z233" s="60">
        <f t="shared" si="120"/>
        <v>0.13446521014121274</v>
      </c>
      <c r="AB233" s="68"/>
      <c r="AC233" s="59">
        <f t="shared" si="121"/>
        <v>0.2637151103737827</v>
      </c>
      <c r="AD233" s="59">
        <f t="shared" si="109"/>
        <v>0.59377531925981408</v>
      </c>
      <c r="AE233" s="59">
        <f t="shared" si="109"/>
        <v>0.18449075310761143</v>
      </c>
      <c r="AF233" s="59">
        <f t="shared" si="109"/>
        <v>0.19398769663885029</v>
      </c>
      <c r="AG233" s="59">
        <f t="shared" si="109"/>
        <v>0.16984185040432842</v>
      </c>
      <c r="AH233" s="59">
        <f t="shared" si="109"/>
        <v>0.27159504734786766</v>
      </c>
      <c r="AI233" s="59">
        <f t="shared" si="109"/>
        <v>0.25424466771344245</v>
      </c>
      <c r="AJ233" s="59">
        <f t="shared" si="109"/>
        <v>0.10518933727023883</v>
      </c>
      <c r="AK233" s="59">
        <f t="shared" si="109"/>
        <v>0.25710718810099631</v>
      </c>
      <c r="AL233" s="60">
        <f t="shared" si="109"/>
        <v>-3.6279412144330614E-2</v>
      </c>
      <c r="AM233" s="60">
        <f t="shared" si="122"/>
        <v>0.22576675580726019</v>
      </c>
      <c r="AO233" s="68"/>
      <c r="AP233" s="59">
        <f t="shared" si="123"/>
        <v>0.16203688310232911</v>
      </c>
      <c r="AQ233" s="59">
        <f t="shared" si="124"/>
        <v>0.48051585625621374</v>
      </c>
      <c r="AR233" s="59">
        <f t="shared" si="125"/>
        <v>0.10710417151847018</v>
      </c>
      <c r="AS233" s="59">
        <f t="shared" si="134"/>
        <v>0.12122048703056665</v>
      </c>
      <c r="AT233" s="59">
        <f t="shared" si="126"/>
        <v>0.10888087322040585</v>
      </c>
      <c r="AU233" s="59">
        <f t="shared" si="127"/>
        <v>0.21274561908829104</v>
      </c>
      <c r="AV233" s="59">
        <f t="shared" si="128"/>
        <v>0.20046388563690898</v>
      </c>
      <c r="AW233" s="59">
        <f t="shared" si="129"/>
        <v>4.5689599082447518E-2</v>
      </c>
      <c r="AX233" s="59">
        <f t="shared" si="130"/>
        <v>0.16755566833936686</v>
      </c>
      <c r="AY233" s="60">
        <f t="shared" si="131"/>
        <v>-5.5175894259147706E-2</v>
      </c>
      <c r="AZ233" s="60">
        <f t="shared" si="132"/>
        <v>0.1551037149015852</v>
      </c>
    </row>
    <row r="234" spans="1:52" ht="25.5">
      <c r="A234" s="506" t="s">
        <v>72</v>
      </c>
      <c r="B234" s="12">
        <v>34460687</v>
      </c>
      <c r="C234" s="2">
        <v>187729622</v>
      </c>
      <c r="D234" s="2">
        <v>132723773</v>
      </c>
      <c r="E234" s="2">
        <v>270714190</v>
      </c>
      <c r="F234" s="2">
        <v>511496925</v>
      </c>
      <c r="G234" s="2">
        <v>387314366</v>
      </c>
      <c r="H234" s="2">
        <v>718759458</v>
      </c>
      <c r="I234" s="2">
        <v>668302135</v>
      </c>
      <c r="J234" s="2">
        <v>1126042877.4100001</v>
      </c>
      <c r="K234" s="2">
        <v>1349820359.72</v>
      </c>
      <c r="L234" s="23">
        <v>1124118767.45</v>
      </c>
      <c r="M234" s="463"/>
      <c r="O234" s="95">
        <f t="shared" si="133"/>
        <v>6.4842562574252754E-3</v>
      </c>
      <c r="P234" s="96">
        <f t="shared" si="110"/>
        <v>2.2090829414413815E-2</v>
      </c>
      <c r="Q234" s="96">
        <f t="shared" si="111"/>
        <v>1.0792603111328292E-2</v>
      </c>
      <c r="R234" s="96">
        <f t="shared" si="112"/>
        <v>2.0371251409309028E-2</v>
      </c>
      <c r="S234" s="96">
        <f t="shared" si="113"/>
        <v>2.8545699959332625E-2</v>
      </c>
      <c r="T234" s="96">
        <f t="shared" si="114"/>
        <v>1.8909802482776759E-2</v>
      </c>
      <c r="U234" s="96">
        <f t="shared" si="115"/>
        <v>2.9895608949403147E-2</v>
      </c>
      <c r="V234" s="96">
        <f t="shared" si="116"/>
        <v>2.2622997496107126E-2</v>
      </c>
      <c r="W234" s="96">
        <f t="shared" si="117"/>
        <v>3.4001337170675688E-2</v>
      </c>
      <c r="X234" s="96">
        <f t="shared" si="118"/>
        <v>2.8215121256704053E-2</v>
      </c>
      <c r="Y234" s="97">
        <f t="shared" si="119"/>
        <v>3.0132240919171063E-2</v>
      </c>
      <c r="Z234" s="60">
        <f t="shared" si="120"/>
        <v>2.2914704402422447E-2</v>
      </c>
      <c r="AB234" s="68"/>
      <c r="AC234" s="59">
        <f t="shared" si="121"/>
        <v>4.4476459508773001</v>
      </c>
      <c r="AD234" s="59">
        <f t="shared" si="109"/>
        <v>-0.29300569837614654</v>
      </c>
      <c r="AE234" s="59">
        <f t="shared" si="109"/>
        <v>1.0396812408278961</v>
      </c>
      <c r="AF234" s="59">
        <f t="shared" si="109"/>
        <v>0.88943521948369231</v>
      </c>
      <c r="AG234" s="59">
        <f t="shared" si="109"/>
        <v>-0.24278261105870769</v>
      </c>
      <c r="AH234" s="59">
        <f t="shared" si="109"/>
        <v>0.85575212565185366</v>
      </c>
      <c r="AI234" s="59">
        <f t="shared" si="109"/>
        <v>-7.0200569103328614E-2</v>
      </c>
      <c r="AJ234" s="59">
        <f t="shared" si="109"/>
        <v>0.68493083956704726</v>
      </c>
      <c r="AK234" s="59">
        <f t="shared" si="109"/>
        <v>0.19872909531181282</v>
      </c>
      <c r="AL234" s="60">
        <f t="shared" si="109"/>
        <v>-0.16720861457210379</v>
      </c>
      <c r="AM234" s="60">
        <f t="shared" si="122"/>
        <v>0.73429769786093158</v>
      </c>
      <c r="AO234" s="68"/>
      <c r="AP234" s="59">
        <f t="shared" si="123"/>
        <v>4.0093296100021156</v>
      </c>
      <c r="AQ234" s="59">
        <f t="shared" si="124"/>
        <v>-0.34324728135266747</v>
      </c>
      <c r="AR234" s="59">
        <f t="shared" si="125"/>
        <v>0.90642232061678296</v>
      </c>
      <c r="AS234" s="59">
        <f t="shared" si="134"/>
        <v>0.77428417643317915</v>
      </c>
      <c r="AT234" s="59">
        <f t="shared" si="126"/>
        <v>-0.2822415447210358</v>
      </c>
      <c r="AU234" s="59">
        <f t="shared" si="127"/>
        <v>0.76986790345872547</v>
      </c>
      <c r="AV234" s="59">
        <f t="shared" si="128"/>
        <v>-0.11006945741130225</v>
      </c>
      <c r="AW234" s="59">
        <f t="shared" si="129"/>
        <v>0.59421973655695659</v>
      </c>
      <c r="AX234" s="59">
        <f t="shared" si="130"/>
        <v>0.11333620814694245</v>
      </c>
      <c r="AY234" s="60">
        <f t="shared" si="131"/>
        <v>-0.18353785742363116</v>
      </c>
      <c r="AZ234" s="60">
        <f t="shared" si="132"/>
        <v>0.6248363814306066</v>
      </c>
    </row>
    <row r="235" spans="1:52" ht="38.25">
      <c r="A235" s="506" t="s">
        <v>73</v>
      </c>
      <c r="B235" s="12">
        <v>266941395</v>
      </c>
      <c r="C235" s="2">
        <v>363314106</v>
      </c>
      <c r="D235" s="2">
        <v>386094014</v>
      </c>
      <c r="E235" s="2">
        <v>526508051</v>
      </c>
      <c r="F235" s="2">
        <v>602558864</v>
      </c>
      <c r="G235" s="2">
        <v>714245490</v>
      </c>
      <c r="H235" s="2">
        <v>664296080</v>
      </c>
      <c r="I235" s="2">
        <v>1154220039</v>
      </c>
      <c r="J235" s="2">
        <v>1588544865.6300001</v>
      </c>
      <c r="K235" s="2">
        <v>2153089440.9899998</v>
      </c>
      <c r="L235" s="23">
        <v>2003521028.8800001</v>
      </c>
      <c r="M235" s="463"/>
      <c r="O235" s="95">
        <f t="shared" si="133"/>
        <v>5.0228726168302512E-2</v>
      </c>
      <c r="P235" s="96">
        <f t="shared" si="110"/>
        <v>4.2752496137749951E-2</v>
      </c>
      <c r="Q235" s="96">
        <f t="shared" si="111"/>
        <v>3.1395727853228139E-2</v>
      </c>
      <c r="R235" s="96">
        <f t="shared" si="112"/>
        <v>3.9619747586730862E-2</v>
      </c>
      <c r="S235" s="96">
        <f t="shared" si="113"/>
        <v>3.36276988167237E-2</v>
      </c>
      <c r="T235" s="96">
        <f t="shared" si="114"/>
        <v>3.4871521238936186E-2</v>
      </c>
      <c r="U235" s="96">
        <f t="shared" si="115"/>
        <v>2.7630294966221412E-2</v>
      </c>
      <c r="V235" s="96">
        <f t="shared" si="116"/>
        <v>3.9072023991444632E-2</v>
      </c>
      <c r="W235" s="96">
        <f t="shared" si="117"/>
        <v>4.7966778770685267E-2</v>
      </c>
      <c r="X235" s="96">
        <f t="shared" si="118"/>
        <v>4.5005751481377566E-2</v>
      </c>
      <c r="Y235" s="97">
        <f t="shared" si="119"/>
        <v>5.3704804222586638E-2</v>
      </c>
      <c r="Z235" s="60">
        <f t="shared" si="120"/>
        <v>4.0534142839453356E-2</v>
      </c>
      <c r="AB235" s="68"/>
      <c r="AC235" s="59">
        <f t="shared" si="121"/>
        <v>0.36102572626474805</v>
      </c>
      <c r="AD235" s="59">
        <f t="shared" si="109"/>
        <v>6.2700312549934356E-2</v>
      </c>
      <c r="AE235" s="59">
        <f t="shared" si="109"/>
        <v>0.36367835788306202</v>
      </c>
      <c r="AF235" s="59">
        <f t="shared" si="109"/>
        <v>0.14444377983500201</v>
      </c>
      <c r="AG235" s="59">
        <f t="shared" si="109"/>
        <v>0.18535388436340394</v>
      </c>
      <c r="AH235" s="59">
        <f t="shared" si="109"/>
        <v>-6.9933112213281134E-2</v>
      </c>
      <c r="AI235" s="59">
        <f t="shared" si="109"/>
        <v>0.73750842997598309</v>
      </c>
      <c r="AJ235" s="59">
        <f t="shared" si="109"/>
        <v>0.37629291812182797</v>
      </c>
      <c r="AK235" s="59">
        <f t="shared" si="109"/>
        <v>0.35538472193928694</v>
      </c>
      <c r="AL235" s="60">
        <f t="shared" si="109"/>
        <v>-6.9466882918355455E-2</v>
      </c>
      <c r="AM235" s="60">
        <f t="shared" si="122"/>
        <v>0.24469881358016118</v>
      </c>
      <c r="AO235" s="68"/>
      <c r="AP235" s="59">
        <f t="shared" si="123"/>
        <v>0.25151790920896389</v>
      </c>
      <c r="AQ235" s="59">
        <f t="shared" si="124"/>
        <v>-1.2819031537450676E-2</v>
      </c>
      <c r="AR235" s="59">
        <f t="shared" si="125"/>
        <v>0.27458487511268515</v>
      </c>
      <c r="AS235" s="59">
        <f t="shared" si="134"/>
        <v>7.4696008859988838E-2</v>
      </c>
      <c r="AT235" s="59">
        <f t="shared" si="126"/>
        <v>0.12358456821645958</v>
      </c>
      <c r="AU235" s="59">
        <f t="shared" si="127"/>
        <v>-0.11297661470534359</v>
      </c>
      <c r="AV235" s="59">
        <f t="shared" si="128"/>
        <v>0.66300577141652295</v>
      </c>
      <c r="AW235" s="59">
        <f t="shared" si="129"/>
        <v>0.30219785989386705</v>
      </c>
      <c r="AX235" s="59">
        <f t="shared" si="130"/>
        <v>0.25883228563136162</v>
      </c>
      <c r="AY235" s="60">
        <f t="shared" si="131"/>
        <v>-8.7712630312113182E-2</v>
      </c>
      <c r="AZ235" s="60">
        <f t="shared" si="132"/>
        <v>0.17349110017849417</v>
      </c>
    </row>
    <row r="236" spans="1:52" ht="38.25">
      <c r="A236" s="506" t="s">
        <v>74</v>
      </c>
      <c r="B236" s="12">
        <v>298916287</v>
      </c>
      <c r="C236" s="2">
        <v>289178201</v>
      </c>
      <c r="D236" s="2">
        <v>477194558</v>
      </c>
      <c r="E236" s="2">
        <v>498841869</v>
      </c>
      <c r="F236" s="2">
        <v>622010106</v>
      </c>
      <c r="G236" s="2">
        <v>603138656</v>
      </c>
      <c r="H236" s="2">
        <v>681961288</v>
      </c>
      <c r="I236" s="2">
        <v>1049524156</v>
      </c>
      <c r="J236" s="2">
        <v>1535094255.8900001</v>
      </c>
      <c r="K236" s="2">
        <v>2093780429.05</v>
      </c>
      <c r="L236" s="23">
        <v>1893941007.75</v>
      </c>
      <c r="M236" s="463"/>
      <c r="O236" s="95">
        <f t="shared" si="133"/>
        <v>5.6245245616434736E-2</v>
      </c>
      <c r="P236" s="96">
        <f t="shared" si="110"/>
        <v>3.4028653765989424E-2</v>
      </c>
      <c r="Q236" s="96">
        <f t="shared" si="111"/>
        <v>3.8803684938791855E-2</v>
      </c>
      <c r="R236" s="96">
        <f t="shared" si="112"/>
        <v>3.753786651112969E-2</v>
      </c>
      <c r="S236" s="96">
        <f t="shared" si="113"/>
        <v>3.471323675611282E-2</v>
      </c>
      <c r="T236" s="96">
        <f t="shared" si="114"/>
        <v>2.9446965710245403E-2</v>
      </c>
      <c r="U236" s="96">
        <f t="shared" si="115"/>
        <v>2.8365050028572002E-2</v>
      </c>
      <c r="V236" s="96">
        <f t="shared" si="116"/>
        <v>3.552791635671184E-2</v>
      </c>
      <c r="W236" s="96">
        <f t="shared" si="117"/>
        <v>4.6352815181724863E-2</v>
      </c>
      <c r="X236" s="96">
        <f t="shared" si="118"/>
        <v>4.3766022837893832E-2</v>
      </c>
      <c r="Y236" s="97">
        <f t="shared" si="119"/>
        <v>5.0767488618375906E-2</v>
      </c>
      <c r="Z236" s="60">
        <f t="shared" si="120"/>
        <v>3.95959042110893E-2</v>
      </c>
      <c r="AB236" s="68"/>
      <c r="AC236" s="59">
        <f t="shared" si="121"/>
        <v>-3.2577970567391645E-2</v>
      </c>
      <c r="AD236" s="59">
        <f t="shared" si="109"/>
        <v>0.6501747239239517</v>
      </c>
      <c r="AE236" s="59">
        <f t="shared" si="109"/>
        <v>4.5363700480423264E-2</v>
      </c>
      <c r="AF236" s="59">
        <f t="shared" si="109"/>
        <v>0.24690837849458869</v>
      </c>
      <c r="AG236" s="59">
        <f t="shared" si="109"/>
        <v>-3.0339458825448751E-2</v>
      </c>
      <c r="AH236" s="59">
        <f t="shared" si="109"/>
        <v>0.13068741526658179</v>
      </c>
      <c r="AI236" s="59">
        <f t="shared" si="109"/>
        <v>0.53897908058382349</v>
      </c>
      <c r="AJ236" s="59">
        <f t="shared" si="109"/>
        <v>0.46265738345711793</v>
      </c>
      <c r="AK236" s="59">
        <f t="shared" si="109"/>
        <v>0.36394258594635343</v>
      </c>
      <c r="AL236" s="60">
        <f t="shared" si="109"/>
        <v>-9.544430663661907E-2</v>
      </c>
      <c r="AM236" s="60">
        <f t="shared" si="122"/>
        <v>0.22803515321233814</v>
      </c>
      <c r="AO236" s="68"/>
      <c r="AP236" s="59">
        <f t="shared" si="123"/>
        <v>-0.11041652465967045</v>
      </c>
      <c r="AQ236" s="59">
        <f t="shared" si="124"/>
        <v>0.53290731437431638</v>
      </c>
      <c r="AR236" s="59">
        <f t="shared" si="125"/>
        <v>-2.2933264342066328E-2</v>
      </c>
      <c r="AS236" s="59">
        <f t="shared" si="134"/>
        <v>0.17091593435495223</v>
      </c>
      <c r="AT236" s="59">
        <f t="shared" si="126"/>
        <v>-8.0868899284653795E-2</v>
      </c>
      <c r="AU236" s="59">
        <f t="shared" si="127"/>
        <v>7.8359193268927596E-2</v>
      </c>
      <c r="AV236" s="59">
        <f t="shared" si="128"/>
        <v>0.47298916594929508</v>
      </c>
      <c r="AW236" s="59">
        <f t="shared" si="129"/>
        <v>0.38391274809075404</v>
      </c>
      <c r="AX236" s="59">
        <f t="shared" si="130"/>
        <v>0.26678052005791164</v>
      </c>
      <c r="AY236" s="60">
        <f t="shared" si="131"/>
        <v>-0.11318069278099907</v>
      </c>
      <c r="AZ236" s="60">
        <f t="shared" si="132"/>
        <v>0.15784654950287674</v>
      </c>
    </row>
    <row r="237" spans="1:52" ht="63.75">
      <c r="A237" s="506" t="s">
        <v>75</v>
      </c>
      <c r="B237" s="12">
        <v>2485795</v>
      </c>
      <c r="C237" s="2">
        <v>261865527</v>
      </c>
      <c r="D237" s="2">
        <v>41623229</v>
      </c>
      <c r="E237" s="2">
        <v>298380372</v>
      </c>
      <c r="F237" s="2">
        <v>492045683</v>
      </c>
      <c r="G237" s="2">
        <v>498421200</v>
      </c>
      <c r="H237" s="2">
        <v>701094250</v>
      </c>
      <c r="I237" s="2">
        <v>772998018</v>
      </c>
      <c r="J237" s="2">
        <v>1179493487.1500001</v>
      </c>
      <c r="K237" s="2">
        <v>1409129371.6600001</v>
      </c>
      <c r="L237" s="23">
        <v>1233699005.5799999</v>
      </c>
      <c r="M237" s="463"/>
      <c r="O237" s="95">
        <f t="shared" si="133"/>
        <v>4.6773680929304931E-4</v>
      </c>
      <c r="P237" s="96">
        <f t="shared" si="110"/>
        <v>3.0814671786174346E-2</v>
      </c>
      <c r="Q237" s="96">
        <f t="shared" si="111"/>
        <v>3.3846460257645778E-3</v>
      </c>
      <c r="R237" s="96">
        <f t="shared" si="112"/>
        <v>2.2453132484910199E-2</v>
      </c>
      <c r="S237" s="96">
        <f t="shared" si="113"/>
        <v>2.7460162019943508E-2</v>
      </c>
      <c r="T237" s="96">
        <f t="shared" si="114"/>
        <v>2.4334358011467543E-2</v>
      </c>
      <c r="U237" s="96">
        <f t="shared" si="115"/>
        <v>2.9160853887052553E-2</v>
      </c>
      <c r="V237" s="96">
        <f t="shared" si="116"/>
        <v>2.6167105130839918E-2</v>
      </c>
      <c r="W237" s="96">
        <f t="shared" si="117"/>
        <v>3.5615300759636093E-2</v>
      </c>
      <c r="X237" s="96">
        <f t="shared" si="118"/>
        <v>2.9454849900187794E-2</v>
      </c>
      <c r="Y237" s="97">
        <f t="shared" si="119"/>
        <v>3.3069562340112608E-2</v>
      </c>
      <c r="Z237" s="60">
        <f t="shared" si="120"/>
        <v>2.38529435595802E-2</v>
      </c>
      <c r="AB237" s="68"/>
      <c r="AC237" s="59">
        <f t="shared" si="121"/>
        <v>104.34477983904546</v>
      </c>
      <c r="AD237" s="59">
        <f t="shared" si="109"/>
        <v>-0.84105113232411077</v>
      </c>
      <c r="AE237" s="59">
        <f t="shared" si="109"/>
        <v>6.1686022244934433</v>
      </c>
      <c r="AF237" s="59">
        <f t="shared" si="109"/>
        <v>0.64905512953781019</v>
      </c>
      <c r="AG237" s="59">
        <f t="shared" si="109"/>
        <v>1.2957164792359421E-2</v>
      </c>
      <c r="AH237" s="59">
        <f t="shared" si="109"/>
        <v>0.40663007512521543</v>
      </c>
      <c r="AI237" s="59">
        <f t="shared" si="109"/>
        <v>0.10255934633610253</v>
      </c>
      <c r="AJ237" s="59">
        <f t="shared" si="109"/>
        <v>0.52586870817824027</v>
      </c>
      <c r="AK237" s="59">
        <f t="shared" si="109"/>
        <v>0.19469025222417047</v>
      </c>
      <c r="AL237" s="60">
        <f t="shared" si="109"/>
        <v>-0.1244955712429282</v>
      </c>
      <c r="AM237" s="60">
        <f t="shared" si="122"/>
        <v>11.143959603616576</v>
      </c>
      <c r="AO237" s="68"/>
      <c r="AP237" s="59">
        <f>IF(AC237="",,(((AC237+1)/($C$273+1))-1))</f>
        <v>95.868763070386635</v>
      </c>
      <c r="AQ237" s="59">
        <f t="shared" si="124"/>
        <v>-0.85234661618589014</v>
      </c>
      <c r="AR237" s="59">
        <f t="shared" si="125"/>
        <v>5.7002544391937962</v>
      </c>
      <c r="AS237" s="59">
        <f t="shared" si="134"/>
        <v>0.54855397646521764</v>
      </c>
      <c r="AT237" s="59">
        <f t="shared" si="126"/>
        <v>-3.9828481908393498E-2</v>
      </c>
      <c r="AU237" s="59">
        <f t="shared" si="127"/>
        <v>0.34153122477463005</v>
      </c>
      <c r="AV237" s="59">
        <f t="shared" si="128"/>
        <v>5.5282682174677023E-2</v>
      </c>
      <c r="AW237" s="59">
        <f t="shared" si="129"/>
        <v>0.4437209841784846</v>
      </c>
      <c r="AX237" s="59">
        <f t="shared" si="130"/>
        <v>0.1095850768312161</v>
      </c>
      <c r="AY237" s="60">
        <f t="shared" si="131"/>
        <v>-0.1416623247479688</v>
      </c>
      <c r="AZ237" s="60">
        <f t="shared" si="132"/>
        <v>10.203385403116242</v>
      </c>
    </row>
    <row r="238" spans="1:52" ht="25.5">
      <c r="A238" s="506" t="s">
        <v>76</v>
      </c>
      <c r="B238" s="12">
        <v>-7915389</v>
      </c>
      <c r="C238" s="2">
        <v>-10959799</v>
      </c>
      <c r="D238" s="2">
        <v>5786741</v>
      </c>
      <c r="E238" s="2">
        <v>23158570</v>
      </c>
      <c r="F238" s="2">
        <v>115959178</v>
      </c>
      <c r="G238" s="2">
        <v>140692507</v>
      </c>
      <c r="H238" s="2">
        <v>155648062</v>
      </c>
      <c r="I238" s="2">
        <v>174180272</v>
      </c>
      <c r="J238" s="2"/>
      <c r="K238" s="2"/>
      <c r="L238" s="23"/>
      <c r="M238" s="463"/>
      <c r="O238" s="95">
        <f t="shared" si="133"/>
        <v>-1.4893902333753589E-3</v>
      </c>
      <c r="P238" s="96">
        <f t="shared" si="110"/>
        <v>-1.2896795271087431E-3</v>
      </c>
      <c r="Q238" s="96">
        <f t="shared" si="111"/>
        <v>4.7055623502393191E-4</v>
      </c>
      <c r="R238" s="96">
        <f t="shared" si="112"/>
        <v>1.7426831292075297E-3</v>
      </c>
      <c r="S238" s="96">
        <f t="shared" si="113"/>
        <v>6.4714678445405016E-3</v>
      </c>
      <c r="T238" s="96">
        <f t="shared" si="114"/>
        <v>6.8690132660266124E-3</v>
      </c>
      <c r="U238" s="96">
        <f t="shared" si="115"/>
        <v>6.473923290320662E-3</v>
      </c>
      <c r="V238" s="96">
        <f t="shared" si="116"/>
        <v>5.8962550782921839E-3</v>
      </c>
      <c r="W238" s="96">
        <f t="shared" si="117"/>
        <v>0</v>
      </c>
      <c r="X238" s="96">
        <f t="shared" si="118"/>
        <v>0</v>
      </c>
      <c r="Y238" s="97">
        <f t="shared" si="119"/>
        <v>0</v>
      </c>
      <c r="Z238" s="60">
        <f t="shared" si="120"/>
        <v>2.285893552993393E-3</v>
      </c>
      <c r="AB238" s="68"/>
      <c r="AC238" s="59">
        <f t="shared" si="121"/>
        <v>0.38461912610991078</v>
      </c>
      <c r="AD238" s="59">
        <f t="shared" si="109"/>
        <v>-1.5279970006749211</v>
      </c>
      <c r="AE238" s="59">
        <f t="shared" si="109"/>
        <v>3.0020056193978615</v>
      </c>
      <c r="AF238" s="59">
        <f t="shared" si="109"/>
        <v>4.0071821360299884</v>
      </c>
      <c r="AG238" s="59">
        <f t="shared" si="109"/>
        <v>0.21329341434276117</v>
      </c>
      <c r="AH238" s="59">
        <f t="shared" si="109"/>
        <v>0.1062995842415404</v>
      </c>
      <c r="AI238" s="59">
        <f t="shared" si="109"/>
        <v>0.11906482973106347</v>
      </c>
      <c r="AJ238" s="59">
        <f t="shared" si="109"/>
        <v>-1</v>
      </c>
      <c r="AK238" s="59" t="str">
        <f t="shared" si="109"/>
        <v/>
      </c>
      <c r="AL238" s="60" t="str">
        <f t="shared" si="109"/>
        <v/>
      </c>
      <c r="AM238" s="60">
        <f t="shared" si="122"/>
        <v>0.6630584636472755</v>
      </c>
      <c r="AO238" s="68"/>
      <c r="AP238" s="59">
        <f t="shared" si="123"/>
        <v>0.27321298952635487</v>
      </c>
      <c r="AQ238" s="59">
        <f t="shared" si="124"/>
        <v>-1.4904756160473025</v>
      </c>
      <c r="AR238" s="59">
        <f t="shared" si="125"/>
        <v>2.7405417510027679</v>
      </c>
      <c r="AS238" s="59">
        <f t="shared" si="134"/>
        <v>3.7020209747675734</v>
      </c>
      <c r="AT238" s="59">
        <f t="shared" si="126"/>
        <v>0.1500681569085287</v>
      </c>
      <c r="AU238" s="59">
        <f t="shared" si="127"/>
        <v>5.5100031245317149E-2</v>
      </c>
      <c r="AV238" s="59">
        <f t="shared" si="128"/>
        <v>7.1080426618552295E-2</v>
      </c>
      <c r="AW238" s="59">
        <f t="shared" si="129"/>
        <v>-1</v>
      </c>
      <c r="AX238" s="59">
        <f t="shared" si="130"/>
        <v>0</v>
      </c>
      <c r="AY238" s="60">
        <f t="shared" si="131"/>
        <v>0</v>
      </c>
      <c r="AZ238" s="60">
        <f t="shared" si="132"/>
        <v>0.45015487140217914</v>
      </c>
    </row>
    <row r="239" spans="1:52" ht="63.75">
      <c r="A239" s="506" t="s">
        <v>77</v>
      </c>
      <c r="B239" s="12">
        <v>46810417</v>
      </c>
      <c r="C239" s="2">
        <v>117831262</v>
      </c>
      <c r="D239" s="2">
        <v>88938313</v>
      </c>
      <c r="E239" s="2">
        <v>128394283</v>
      </c>
      <c r="F239" s="2">
        <v>259337408</v>
      </c>
      <c r="G239" s="2">
        <v>257425036</v>
      </c>
      <c r="H239" s="2">
        <v>320096204</v>
      </c>
      <c r="I239" s="2">
        <v>361085091</v>
      </c>
      <c r="J239" s="2">
        <v>380086731</v>
      </c>
      <c r="K239" s="2">
        <v>441035213.29000002</v>
      </c>
      <c r="L239" s="23">
        <v>408480171</v>
      </c>
      <c r="M239" s="463"/>
      <c r="O239" s="95">
        <f t="shared" si="133"/>
        <v>8.8080292579464977E-3</v>
      </c>
      <c r="P239" s="96">
        <f t="shared" si="110"/>
        <v>1.3865634420374535E-2</v>
      </c>
      <c r="Q239" s="96">
        <f t="shared" si="111"/>
        <v>7.2321325102782412E-3</v>
      </c>
      <c r="R239" s="96">
        <f t="shared" si="112"/>
        <v>9.6616738801574165E-3</v>
      </c>
      <c r="S239" s="96">
        <f t="shared" si="113"/>
        <v>1.4473142408429979E-2</v>
      </c>
      <c r="T239" s="96">
        <f t="shared" si="114"/>
        <v>1.2568231421815365E-2</v>
      </c>
      <c r="U239" s="96">
        <f t="shared" si="115"/>
        <v>1.3313871329916295E-2</v>
      </c>
      <c r="V239" s="96">
        <f t="shared" si="116"/>
        <v>1.2223254545752146E-2</v>
      </c>
      <c r="W239" s="96">
        <f t="shared" si="117"/>
        <v>1.1476878326832479E-2</v>
      </c>
      <c r="X239" s="96">
        <f t="shared" si="118"/>
        <v>9.2189023019588895E-3</v>
      </c>
      <c r="Y239" s="97">
        <f t="shared" si="119"/>
        <v>1.0949397234241676E-2</v>
      </c>
      <c r="Z239" s="60">
        <f t="shared" si="120"/>
        <v>1.1253740694336684E-2</v>
      </c>
      <c r="AB239" s="68"/>
      <c r="AC239" s="59">
        <f t="shared" si="121"/>
        <v>1.5172017160197484</v>
      </c>
      <c r="AD239" s="59">
        <f t="shared" si="109"/>
        <v>-0.24520614062505752</v>
      </c>
      <c r="AE239" s="59">
        <f t="shared" si="109"/>
        <v>0.44363299312861937</v>
      </c>
      <c r="AF239" s="59">
        <f t="shared" si="109"/>
        <v>1.0198516782869529</v>
      </c>
      <c r="AG239" s="59">
        <f t="shared" si="109"/>
        <v>-7.3740692279919973E-3</v>
      </c>
      <c r="AH239" s="59">
        <f t="shared" si="109"/>
        <v>0.24345405160980538</v>
      </c>
      <c r="AI239" s="59">
        <f t="shared" si="109"/>
        <v>0.12805177470958085</v>
      </c>
      <c r="AJ239" s="59">
        <f t="shared" si="109"/>
        <v>5.2623717992277941E-2</v>
      </c>
      <c r="AK239" s="59">
        <f t="shared" si="109"/>
        <v>0.16035414372305468</v>
      </c>
      <c r="AL239" s="60">
        <f t="shared" si="109"/>
        <v>-7.3815063534606318E-2</v>
      </c>
      <c r="AM239" s="60">
        <f t="shared" si="122"/>
        <v>0.32387748020823837</v>
      </c>
      <c r="AO239" s="68"/>
      <c r="AP239" s="59">
        <f t="shared" si="123"/>
        <v>1.3146682446158606</v>
      </c>
      <c r="AQ239" s="59">
        <f t="shared" si="124"/>
        <v>-0.29884453379011378</v>
      </c>
      <c r="AR239" s="59">
        <f t="shared" si="125"/>
        <v>0.34931581748632512</v>
      </c>
      <c r="AS239" s="59">
        <f t="shared" si="134"/>
        <v>0.89675244463043757</v>
      </c>
      <c r="AT239" s="59">
        <f t="shared" si="126"/>
        <v>-5.9100246315132332E-2</v>
      </c>
      <c r="AU239" s="59">
        <f t="shared" si="127"/>
        <v>0.18590698884252443</v>
      </c>
      <c r="AV239" s="59">
        <f t="shared" si="128"/>
        <v>7.9682020204422832E-2</v>
      </c>
      <c r="AW239" s="59">
        <f t="shared" si="129"/>
        <v>-4.0460611294559357E-3</v>
      </c>
      <c r="AX239" s="59">
        <f t="shared" si="130"/>
        <v>7.7694941695044761E-2</v>
      </c>
      <c r="AY239" s="60">
        <f t="shared" si="131"/>
        <v>-9.1975552484908185E-2</v>
      </c>
      <c r="AZ239" s="60">
        <f t="shared" si="132"/>
        <v>0.24500540637550056</v>
      </c>
    </row>
    <row r="240" spans="1:52" ht="26.25" thickBot="1">
      <c r="A240" s="507" t="s">
        <v>78</v>
      </c>
      <c r="B240" s="14">
        <v>-52240011</v>
      </c>
      <c r="C240" s="15">
        <v>133074466</v>
      </c>
      <c r="D240" s="15">
        <v>-41528343</v>
      </c>
      <c r="E240" s="15">
        <v>193144659</v>
      </c>
      <c r="F240" s="15">
        <v>348667453</v>
      </c>
      <c r="G240" s="15">
        <v>381688671</v>
      </c>
      <c r="H240" s="15">
        <v>536646108</v>
      </c>
      <c r="I240" s="15">
        <v>586093199</v>
      </c>
      <c r="J240" s="15">
        <v>799388040.14999998</v>
      </c>
      <c r="K240" s="15">
        <v>968094158.37</v>
      </c>
      <c r="L240" s="25">
        <v>825215678.58000004</v>
      </c>
      <c r="M240" s="463"/>
      <c r="O240" s="98">
        <f t="shared" si="133"/>
        <v>-9.829682682028806E-3</v>
      </c>
      <c r="P240" s="99">
        <f t="shared" si="110"/>
        <v>1.5659357838691067E-2</v>
      </c>
      <c r="Q240" s="99">
        <f t="shared" si="111"/>
        <v>-3.3769302494897316E-3</v>
      </c>
      <c r="R240" s="99">
        <f t="shared" si="112"/>
        <v>1.4534141733960313E-2</v>
      </c>
      <c r="S240" s="99">
        <f t="shared" si="113"/>
        <v>1.9458487456054031E-2</v>
      </c>
      <c r="T240" s="99">
        <f t="shared" si="114"/>
        <v>1.863513985567879E-2</v>
      </c>
      <c r="U240" s="99">
        <f t="shared" si="115"/>
        <v>2.2320905847456923E-2</v>
      </c>
      <c r="V240" s="99">
        <f t="shared" si="116"/>
        <v>1.9840105663379955E-2</v>
      </c>
      <c r="W240" s="99">
        <f t="shared" si="117"/>
        <v>2.4137857295330384E-2</v>
      </c>
      <c r="X240" s="99">
        <f t="shared" si="118"/>
        <v>2.0235947598228901E-2</v>
      </c>
      <c r="Y240" s="100">
        <f t="shared" si="119"/>
        <v>2.2120080508624542E-2</v>
      </c>
      <c r="Z240" s="63">
        <f t="shared" si="120"/>
        <v>1.4885037351444214E-2</v>
      </c>
      <c r="AB240" s="69"/>
      <c r="AC240" s="62">
        <f t="shared" si="121"/>
        <v>-3.5473667300720897</v>
      </c>
      <c r="AD240" s="62">
        <f t="shared" si="109"/>
        <v>-1.312068454965658</v>
      </c>
      <c r="AE240" s="62">
        <f t="shared" si="109"/>
        <v>-5.6509117640451008</v>
      </c>
      <c r="AF240" s="62">
        <f t="shared" si="109"/>
        <v>0.80521405461178186</v>
      </c>
      <c r="AG240" s="62">
        <f t="shared" si="109"/>
        <v>9.4706912606494331E-2</v>
      </c>
      <c r="AH240" s="62">
        <f t="shared" si="109"/>
        <v>0.40597861234398547</v>
      </c>
      <c r="AI240" s="62">
        <f t="shared" si="109"/>
        <v>9.2140966388970735E-2</v>
      </c>
      <c r="AJ240" s="62">
        <f t="shared" si="109"/>
        <v>0.36392649072524041</v>
      </c>
      <c r="AK240" s="62">
        <f t="shared" si="109"/>
        <v>0.2110440859089453</v>
      </c>
      <c r="AL240" s="63">
        <f t="shared" si="109"/>
        <v>-0.14758737934186839</v>
      </c>
      <c r="AM240" s="63">
        <f t="shared" si="122"/>
        <v>-0.86849232058392967</v>
      </c>
      <c r="AO240" s="69"/>
      <c r="AP240" s="62">
        <f t="shared" si="123"/>
        <v>-3.3424061885720366</v>
      </c>
      <c r="AQ240" s="62">
        <f t="shared" si="124"/>
        <v>-1.2898917370791065</v>
      </c>
      <c r="AR240" s="62">
        <f t="shared" si="125"/>
        <v>-5.3470527750678576</v>
      </c>
      <c r="AS240" s="62">
        <f t="shared" si="134"/>
        <v>0.69519584431569337</v>
      </c>
      <c r="AT240" s="62">
        <f t="shared" si="126"/>
        <v>3.7661250323663964E-2</v>
      </c>
      <c r="AU240" s="62">
        <f t="shared" si="127"/>
        <v>0.34090991169576612</v>
      </c>
      <c r="AV240" s="62">
        <f t="shared" si="128"/>
        <v>4.5311032148708685E-2</v>
      </c>
      <c r="AW240" s="62">
        <f t="shared" si="129"/>
        <v>0.29049720004280477</v>
      </c>
      <c r="AX240" s="62">
        <f t="shared" si="130"/>
        <v>0.12477392580007929</v>
      </c>
      <c r="AY240" s="63">
        <f t="shared" si="131"/>
        <v>-0.16430135229594944</v>
      </c>
      <c r="AZ240" s="63">
        <f t="shared" si="132"/>
        <v>-0.86093028886882339</v>
      </c>
    </row>
    <row r="242" spans="1:13" ht="15.75" customHeight="1" thickBot="1"/>
    <row r="243" spans="1:13">
      <c r="A243" s="673" t="s">
        <v>239</v>
      </c>
      <c r="B243" s="674"/>
      <c r="C243" s="674"/>
      <c r="D243" s="674"/>
      <c r="E243" s="674"/>
      <c r="F243" s="674"/>
      <c r="G243" s="674"/>
      <c r="H243" s="674"/>
      <c r="I243" s="674"/>
      <c r="J243" s="674"/>
      <c r="K243" s="674"/>
      <c r="L243" s="674"/>
      <c r="M243" s="675"/>
    </row>
    <row r="244" spans="1:13" ht="15.75" thickBot="1">
      <c r="A244" s="687" t="s">
        <v>240</v>
      </c>
      <c r="B244" s="688"/>
      <c r="C244" s="688"/>
      <c r="D244" s="688"/>
      <c r="E244" s="688"/>
      <c r="F244" s="688"/>
      <c r="G244" s="688"/>
      <c r="H244" s="688"/>
      <c r="I244" s="688"/>
      <c r="J244" s="688"/>
      <c r="K244" s="688"/>
      <c r="L244" s="688"/>
      <c r="M244" s="689"/>
    </row>
    <row r="245" spans="1:13" ht="30">
      <c r="A245" s="29" t="s">
        <v>241</v>
      </c>
      <c r="B245" s="30">
        <f>B57/B158</f>
        <v>1.1671081677313453</v>
      </c>
      <c r="C245" s="30">
        <f t="shared" ref="C245:L245" si="135">C57/C158</f>
        <v>1.1653991397666696</v>
      </c>
      <c r="D245" s="30">
        <f t="shared" si="135"/>
        <v>1.3688158216653676</v>
      </c>
      <c r="E245" s="30">
        <f t="shared" si="135"/>
        <v>0.97680506166955949</v>
      </c>
      <c r="F245" s="30">
        <f t="shared" si="135"/>
        <v>1.1485764377942405</v>
      </c>
      <c r="G245" s="30">
        <f t="shared" si="135"/>
        <v>1.1012789026030887</v>
      </c>
      <c r="H245" s="30">
        <f t="shared" si="135"/>
        <v>1.110418971114189</v>
      </c>
      <c r="I245" s="30">
        <f t="shared" si="135"/>
        <v>1.1795391334629968</v>
      </c>
      <c r="J245" s="30">
        <f t="shared" si="135"/>
        <v>1.2580409072590404</v>
      </c>
      <c r="K245" s="30">
        <f t="shared" si="135"/>
        <v>1.2219501089901394</v>
      </c>
      <c r="L245" s="30">
        <f t="shared" si="135"/>
        <v>1.2600963148206086</v>
      </c>
      <c r="M245" s="31">
        <f>AVERAGE(B245:L245)</f>
        <v>1.1780026333524771</v>
      </c>
    </row>
    <row r="246" spans="1:13" ht="45">
      <c r="A246" s="29" t="s">
        <v>242</v>
      </c>
      <c r="B246" s="32">
        <f>(B57-B49)/B158</f>
        <v>0.71936324695540599</v>
      </c>
      <c r="C246" s="32">
        <f t="shared" ref="C246:L246" si="136">(C57-C49)/C158</f>
        <v>0.67586605275949097</v>
      </c>
      <c r="D246" s="32">
        <f t="shared" si="136"/>
        <v>0.57346006486744461</v>
      </c>
      <c r="E246" s="32">
        <f t="shared" si="136"/>
        <v>0.54401262427967867</v>
      </c>
      <c r="F246" s="32">
        <f t="shared" si="136"/>
        <v>0.60910823002770043</v>
      </c>
      <c r="G246" s="32">
        <f t="shared" si="136"/>
        <v>0.54996233732384092</v>
      </c>
      <c r="H246" s="32">
        <f t="shared" si="136"/>
        <v>0.61747139713167432</v>
      </c>
      <c r="I246" s="32">
        <f t="shared" si="136"/>
        <v>0.71376531962454715</v>
      </c>
      <c r="J246" s="32">
        <f t="shared" si="136"/>
        <v>0.71075479866213731</v>
      </c>
      <c r="K246" s="32">
        <f t="shared" si="136"/>
        <v>0.71569217452901701</v>
      </c>
      <c r="L246" s="32">
        <f t="shared" si="136"/>
        <v>0.74297246319657528</v>
      </c>
      <c r="M246" s="33">
        <f>AVERAGE(B246:L246)</f>
        <v>0.65203897357795559</v>
      </c>
    </row>
    <row r="247" spans="1:13" ht="30.75" thickBot="1">
      <c r="A247" s="34" t="s">
        <v>243</v>
      </c>
      <c r="B247" s="35">
        <f>B57-B158</f>
        <v>288889015</v>
      </c>
      <c r="C247" s="35">
        <f t="shared" ref="C247:L247" si="137">C57-C158</f>
        <v>395408798</v>
      </c>
      <c r="D247" s="35">
        <f t="shared" si="137"/>
        <v>1587728750</v>
      </c>
      <c r="E247" s="35">
        <f>E57-E158</f>
        <v>-101082757</v>
      </c>
      <c r="F247" s="35">
        <f t="shared" si="137"/>
        <v>793285007</v>
      </c>
      <c r="G247" s="35">
        <f t="shared" si="137"/>
        <v>705338475</v>
      </c>
      <c r="H247" s="35">
        <f t="shared" si="137"/>
        <v>756122343</v>
      </c>
      <c r="I247" s="35">
        <f t="shared" si="137"/>
        <v>1657033875</v>
      </c>
      <c r="J247" s="35">
        <f t="shared" si="137"/>
        <v>2481661402.0699997</v>
      </c>
      <c r="K247" s="35">
        <f t="shared" si="137"/>
        <v>2673017883.8999996</v>
      </c>
      <c r="L247" s="35">
        <f t="shared" si="137"/>
        <v>2739605421.2999992</v>
      </c>
      <c r="M247" s="36">
        <f>AVERAGE(B247:L247)</f>
        <v>1270637110.2972727</v>
      </c>
    </row>
    <row r="248" spans="1:13" ht="15.75" thickBot="1"/>
    <row r="249" spans="1:13" ht="15.75" thickBot="1">
      <c r="A249" s="690" t="s">
        <v>244</v>
      </c>
      <c r="B249" s="691"/>
      <c r="C249" s="691"/>
      <c r="D249" s="691"/>
      <c r="E249" s="691"/>
      <c r="F249" s="691"/>
      <c r="G249" s="691"/>
      <c r="H249" s="691"/>
      <c r="I249" s="691"/>
      <c r="J249" s="691"/>
      <c r="K249" s="691"/>
      <c r="L249" s="691"/>
      <c r="M249" s="692"/>
    </row>
    <row r="250" spans="1:13" ht="30">
      <c r="A250" s="29" t="s">
        <v>245</v>
      </c>
      <c r="B250" s="37"/>
      <c r="C250" s="38">
        <f>((AVERAGE(B11:C11))*360)/C229</f>
        <v>27.336821918223777</v>
      </c>
      <c r="D250" s="38">
        <f t="shared" ref="D250:L250" si="138">((AVERAGE(C11:D11))*360)/D229</f>
        <v>20.088072871026878</v>
      </c>
      <c r="E250" s="38">
        <f t="shared" si="138"/>
        <v>21.08878987636357</v>
      </c>
      <c r="F250" s="38">
        <f t="shared" si="138"/>
        <v>23.876806033638019</v>
      </c>
      <c r="G250" s="38">
        <f t="shared" si="138"/>
        <v>27.750813374068098</v>
      </c>
      <c r="H250" s="38">
        <f t="shared" si="138"/>
        <v>27.606210173527803</v>
      </c>
      <c r="I250" s="38">
        <f t="shared" si="138"/>
        <v>27.685292808808057</v>
      </c>
      <c r="J250" s="38">
        <f t="shared" si="138"/>
        <v>29.210581451737362</v>
      </c>
      <c r="K250" s="38">
        <f t="shared" si="138"/>
        <v>22.910903844093291</v>
      </c>
      <c r="L250" s="38">
        <f t="shared" si="138"/>
        <v>30.238215332453429</v>
      </c>
      <c r="M250" s="40">
        <f t="shared" ref="M250:M255" si="139">AVERAGE(C250:L250)</f>
        <v>25.779250768394029</v>
      </c>
    </row>
    <row r="251" spans="1:13" ht="45">
      <c r="A251" s="29" t="s">
        <v>246</v>
      </c>
      <c r="B251" s="37"/>
      <c r="C251" s="13">
        <f>(AVERAGE(B49:C49)*360)/C230</f>
        <v>53.160530891581516</v>
      </c>
      <c r="D251" s="13">
        <f t="shared" ref="D251:L251" si="140">(AVERAGE(C49:D49)*360)/D230</f>
        <v>85.386945008030182</v>
      </c>
      <c r="E251" s="13">
        <f t="shared" si="140"/>
        <v>92.977799799325126</v>
      </c>
      <c r="F251" s="13">
        <f t="shared" si="140"/>
        <v>62.607173293105888</v>
      </c>
      <c r="G251" s="13">
        <f t="shared" si="140"/>
        <v>76.958612831816367</v>
      </c>
      <c r="H251" s="13">
        <f t="shared" si="140"/>
        <v>70.28328966454248</v>
      </c>
      <c r="I251" s="13">
        <f t="shared" si="140"/>
        <v>60.542366298809249</v>
      </c>
      <c r="J251" s="13">
        <f t="shared" si="140"/>
        <v>68.470816600926966</v>
      </c>
      <c r="K251" s="13">
        <f t="shared" si="140"/>
        <v>54.284132803281658</v>
      </c>
      <c r="L251" s="13">
        <f t="shared" si="140"/>
        <v>73.859474922521301</v>
      </c>
      <c r="M251" s="40">
        <f t="shared" si="139"/>
        <v>69.853114211394058</v>
      </c>
    </row>
    <row r="252" spans="1:13" ht="60">
      <c r="A252" s="29" t="s">
        <v>247</v>
      </c>
      <c r="B252" s="37"/>
      <c r="C252" s="38">
        <f>(AVERAGE(B129:C129)*360)/C110</f>
        <v>88.427144910887648</v>
      </c>
      <c r="D252" s="38">
        <f t="shared" ref="D252:L252" si="141">(AVERAGE(C129:D129)*360)/D110</f>
        <v>69.682069667046477</v>
      </c>
      <c r="E252" s="38">
        <f t="shared" si="141"/>
        <v>97.474507434290715</v>
      </c>
      <c r="F252" s="38">
        <f t="shared" si="141"/>
        <v>106.86976925187361</v>
      </c>
      <c r="G252" s="38">
        <f t="shared" si="141"/>
        <v>98.385451273518612</v>
      </c>
      <c r="H252" s="38">
        <f t="shared" si="141"/>
        <v>114.67936558106892</v>
      </c>
      <c r="I252" s="38">
        <f t="shared" si="141"/>
        <v>134.97331040617439</v>
      </c>
      <c r="J252" s="38">
        <f t="shared" si="141"/>
        <v>147.7831839657446</v>
      </c>
      <c r="K252" s="38">
        <f t="shared" si="141"/>
        <v>126.44139908840638</v>
      </c>
      <c r="L252" s="38">
        <f t="shared" si="141"/>
        <v>139.69834497265288</v>
      </c>
      <c r="M252" s="40">
        <f t="shared" si="139"/>
        <v>112.44145465516642</v>
      </c>
    </row>
    <row r="253" spans="1:13" ht="45">
      <c r="A253" s="29" t="s">
        <v>248</v>
      </c>
      <c r="B253" s="37"/>
      <c r="C253" s="38">
        <f>C229/B104</f>
        <v>2.2193056226793697</v>
      </c>
      <c r="D253" s="38">
        <f t="shared" ref="D253:L253" si="142">D229/C104</f>
        <v>2.0527916975571259</v>
      </c>
      <c r="E253" s="38">
        <f t="shared" si="142"/>
        <v>1.2325301912773212</v>
      </c>
      <c r="F253" s="38">
        <f t="shared" si="142"/>
        <v>1.9022829777665695</v>
      </c>
      <c r="G253" s="38">
        <f t="shared" si="142"/>
        <v>1.7304758091199435</v>
      </c>
      <c r="H253" s="38">
        <f t="shared" si="142"/>
        <v>1.7137966080396467</v>
      </c>
      <c r="I253" s="38">
        <f t="shared" si="142"/>
        <v>1.980656758052415</v>
      </c>
      <c r="J253" s="38">
        <f t="shared" si="142"/>
        <v>1.6489870249505925</v>
      </c>
      <c r="K253" s="38">
        <f t="shared" si="142"/>
        <v>2.0972480760096044</v>
      </c>
      <c r="L253" s="38">
        <f t="shared" si="142"/>
        <v>1.350031121779532</v>
      </c>
      <c r="M253" s="40">
        <f t="shared" si="139"/>
        <v>1.7928105887232124</v>
      </c>
    </row>
    <row r="254" spans="1:13" ht="30">
      <c r="A254" s="29" t="s">
        <v>249</v>
      </c>
      <c r="B254" s="37"/>
      <c r="C254" s="38">
        <f>C229/B78</f>
        <v>9.4701743828508089</v>
      </c>
      <c r="D254" s="38">
        <f t="shared" ref="D254:L254" si="143">D230/C84</f>
        <v>2618.6983043065738</v>
      </c>
      <c r="E254" s="38">
        <f t="shared" si="143"/>
        <v>2061.8223350121452</v>
      </c>
      <c r="F254" s="38">
        <f t="shared" si="143"/>
        <v>2691.7234306467549</v>
      </c>
      <c r="G254" s="38">
        <f t="shared" si="143"/>
        <v>4454.0594733668186</v>
      </c>
      <c r="H254" s="38">
        <f t="shared" si="143"/>
        <v>3309.1461181964819</v>
      </c>
      <c r="I254" s="38">
        <f t="shared" si="143"/>
        <v>4599.8768376297548</v>
      </c>
      <c r="J254" s="38">
        <f t="shared" si="143"/>
        <v>3093.7291507597183</v>
      </c>
      <c r="K254" s="38">
        <f t="shared" si="143"/>
        <v>3499.0176999687255</v>
      </c>
      <c r="L254" s="39">
        <f t="shared" si="143"/>
        <v>2601.5605588663934</v>
      </c>
      <c r="M254" s="40">
        <f t="shared" si="139"/>
        <v>2893.9104083136217</v>
      </c>
    </row>
    <row r="255" spans="1:13" ht="15.75" thickBot="1">
      <c r="A255" s="34" t="s">
        <v>250</v>
      </c>
      <c r="B255" s="26"/>
      <c r="C255" s="41">
        <f t="shared" ref="C255:L255" si="144">(C251+C250)-C252</f>
        <v>-7.9297921010823558</v>
      </c>
      <c r="D255" s="41">
        <f t="shared" si="144"/>
        <v>35.792948212010586</v>
      </c>
      <c r="E255" s="41">
        <f t="shared" si="144"/>
        <v>16.592082241397989</v>
      </c>
      <c r="F255" s="41">
        <f t="shared" si="144"/>
        <v>-20.3857899251297</v>
      </c>
      <c r="G255" s="41">
        <f t="shared" si="144"/>
        <v>6.3239749323658572</v>
      </c>
      <c r="H255" s="41">
        <f t="shared" si="144"/>
        <v>-16.789865742998643</v>
      </c>
      <c r="I255" s="41">
        <f t="shared" si="144"/>
        <v>-46.745651298557078</v>
      </c>
      <c r="J255" s="41">
        <f t="shared" si="144"/>
        <v>-50.101785913080278</v>
      </c>
      <c r="K255" s="41">
        <f t="shared" si="144"/>
        <v>-49.246362441031437</v>
      </c>
      <c r="L255" s="41">
        <f t="shared" si="144"/>
        <v>-35.60065471767814</v>
      </c>
      <c r="M255" s="42">
        <f t="shared" si="139"/>
        <v>-16.809089675378321</v>
      </c>
    </row>
    <row r="257" spans="1:13" ht="15.75" thickBot="1"/>
    <row r="258" spans="1:13" ht="15.75" thickBot="1">
      <c r="A258" s="693" t="s">
        <v>251</v>
      </c>
      <c r="B258" s="694"/>
      <c r="C258" s="694"/>
      <c r="D258" s="694"/>
      <c r="E258" s="694"/>
      <c r="F258" s="694"/>
      <c r="G258" s="694"/>
      <c r="H258" s="694"/>
      <c r="I258" s="694"/>
      <c r="J258" s="694"/>
      <c r="K258" s="694"/>
      <c r="L258" s="694"/>
      <c r="M258" s="695"/>
    </row>
    <row r="259" spans="1:13" ht="30">
      <c r="A259" s="43" t="s">
        <v>252</v>
      </c>
      <c r="B259" s="38">
        <f>B112/B206</f>
        <v>7.9616300481093541E-3</v>
      </c>
      <c r="C259" s="38">
        <f t="shared" ref="C259:L259" si="145">C112/C206</f>
        <v>0.18811200311294626</v>
      </c>
      <c r="D259" s="38">
        <f t="shared" si="145"/>
        <v>2.2750019144783008E-2</v>
      </c>
      <c r="E259" s="38">
        <f t="shared" si="145"/>
        <v>0.29424145127453327</v>
      </c>
      <c r="F259" s="38">
        <f t="shared" si="145"/>
        <v>0.30644605049249607</v>
      </c>
      <c r="G259" s="38">
        <f t="shared" si="145"/>
        <v>0.32241624510393047</v>
      </c>
      <c r="H259" s="38">
        <f t="shared" si="145"/>
        <v>8.8195071041848649E-2</v>
      </c>
      <c r="I259" s="38">
        <f t="shared" si="145"/>
        <v>1.7976781814300142E-2</v>
      </c>
      <c r="J259" s="38">
        <f t="shared" si="145"/>
        <v>0.80267473804749712</v>
      </c>
      <c r="K259" s="38">
        <f t="shared" si="145"/>
        <v>0.27534569468619624</v>
      </c>
      <c r="L259" s="38">
        <f t="shared" si="145"/>
        <v>0.18295551394004361</v>
      </c>
      <c r="M259" s="44">
        <f>AVERAGE(B259:L259)</f>
        <v>0.22809774533697127</v>
      </c>
    </row>
    <row r="260" spans="1:13" ht="30">
      <c r="A260" s="43" t="s">
        <v>253</v>
      </c>
      <c r="B260">
        <f>B202/B104</f>
        <v>0.5890488176319566</v>
      </c>
      <c r="C260">
        <f t="shared" ref="C260:L260" si="146">C202/C104</f>
        <v>0.50196012226018027</v>
      </c>
      <c r="D260">
        <f t="shared" si="146"/>
        <v>0.48823746499602577</v>
      </c>
      <c r="E260">
        <f t="shared" si="146"/>
        <v>0.54610696004783299</v>
      </c>
      <c r="F260">
        <f t="shared" si="146"/>
        <v>0.51543311017999716</v>
      </c>
      <c r="G260">
        <f t="shared" si="146"/>
        <v>0.54827180257160513</v>
      </c>
      <c r="H260">
        <f t="shared" si="146"/>
        <v>0.52302640638955122</v>
      </c>
      <c r="I260">
        <f t="shared" si="146"/>
        <v>0.55248801213909893</v>
      </c>
      <c r="J260">
        <f t="shared" si="146"/>
        <v>0.5402778785174337</v>
      </c>
      <c r="K260">
        <f t="shared" si="146"/>
        <v>0.51998899132846987</v>
      </c>
      <c r="L260">
        <f t="shared" si="146"/>
        <v>0.47459208135196873</v>
      </c>
      <c r="M260" s="20">
        <f>AVERAGE(B260:L260)</f>
        <v>0.52722105885582915</v>
      </c>
    </row>
    <row r="261" spans="1:13" ht="60">
      <c r="A261" s="43" t="s">
        <v>254</v>
      </c>
      <c r="B261" s="38">
        <f>B237/B239</f>
        <v>5.3103457719678081E-2</v>
      </c>
      <c r="C261" s="38">
        <f t="shared" ref="C261:L261" si="147">C237/C239</f>
        <v>2.2223773432894234</v>
      </c>
      <c r="D261" s="38">
        <f t="shared" si="147"/>
        <v>0.4680011076891013</v>
      </c>
      <c r="E261" s="38">
        <f t="shared" si="147"/>
        <v>2.3239381460621575</v>
      </c>
      <c r="F261" s="38">
        <f t="shared" si="147"/>
        <v>1.8973185812052229</v>
      </c>
      <c r="G261" s="38">
        <f t="shared" si="147"/>
        <v>1.9361799759056846</v>
      </c>
      <c r="H261" s="38">
        <f t="shared" si="147"/>
        <v>2.1902610566415839</v>
      </c>
      <c r="I261" s="38">
        <f t="shared" si="147"/>
        <v>2.1407641502429131</v>
      </c>
      <c r="J261" s="38">
        <f t="shared" si="147"/>
        <v>3.1032219515971478</v>
      </c>
      <c r="K261" s="38">
        <f t="shared" si="147"/>
        <v>3.1950495769902068</v>
      </c>
      <c r="L261" s="38">
        <f t="shared" si="147"/>
        <v>3.0202176094858713</v>
      </c>
      <c r="M261" s="40">
        <f>AVERAGE(B261:L261)</f>
        <v>2.0500393597117266</v>
      </c>
    </row>
    <row r="262" spans="1:13" ht="45.75" thickBot="1">
      <c r="A262" s="45" t="s">
        <v>255</v>
      </c>
      <c r="B262" s="46">
        <f>B231/(B233+B232)</f>
        <v>1.0279221821606945</v>
      </c>
      <c r="C262" s="46">
        <f t="shared" ref="C262:L262" si="148">C231/(C233+C232)</f>
        <v>1.1087098665830069</v>
      </c>
      <c r="D262" s="46">
        <f t="shared" si="148"/>
        <v>1.0535171223316531</v>
      </c>
      <c r="E262" s="46">
        <f t="shared" si="148"/>
        <v>1.0988605197915842</v>
      </c>
      <c r="F262" s="46">
        <f t="shared" si="148"/>
        <v>1.1381240348246566</v>
      </c>
      <c r="G262" s="46">
        <f t="shared" si="148"/>
        <v>1.0884764772947753</v>
      </c>
      <c r="H262" s="46">
        <f t="shared" si="148"/>
        <v>1.148346429598315</v>
      </c>
      <c r="I262" s="46">
        <f t="shared" si="148"/>
        <v>1.1103606219950097</v>
      </c>
      <c r="J262" s="46">
        <f t="shared" si="148"/>
        <v>1.1643413312397604</v>
      </c>
      <c r="K262" s="46">
        <f t="shared" si="148"/>
        <v>1.1530317658901859</v>
      </c>
      <c r="L262" s="46">
        <f t="shared" si="148"/>
        <v>1.1398708268446915</v>
      </c>
      <c r="M262" s="42">
        <f>AVERAGE(B262:L262)</f>
        <v>1.111960107141303</v>
      </c>
    </row>
    <row r="264" spans="1:13" ht="15.75" thickBot="1"/>
    <row r="265" spans="1:13" ht="15.75" thickBot="1">
      <c r="A265" s="690" t="s">
        <v>256</v>
      </c>
      <c r="B265" s="691"/>
      <c r="C265" s="691"/>
      <c r="D265" s="691"/>
      <c r="E265" s="691"/>
      <c r="F265" s="691"/>
      <c r="G265" s="691"/>
      <c r="H265" s="691"/>
      <c r="I265" s="691"/>
      <c r="J265" s="691"/>
      <c r="K265" s="691"/>
      <c r="L265" s="691"/>
      <c r="M265" s="692"/>
    </row>
    <row r="266" spans="1:13" ht="45">
      <c r="A266" s="43" t="s">
        <v>257</v>
      </c>
      <c r="B266" s="38"/>
      <c r="C266" s="38">
        <f>C240/B224</f>
        <v>8.4566980304904518E-2</v>
      </c>
      <c r="D266" s="38">
        <f t="shared" ref="D266:L266" si="149">D240/C224</f>
        <v>-1.3918834000779059E-2</v>
      </c>
      <c r="E266" s="38">
        <f t="shared" si="149"/>
        <v>3.5004063915654901E-2</v>
      </c>
      <c r="F266" s="38">
        <f t="shared" si="149"/>
        <v>8.1551260381983168E-2</v>
      </c>
      <c r="G266" s="38">
        <f t="shared" si="149"/>
        <v>6.6549447415883228E-2</v>
      </c>
      <c r="H266" s="38">
        <f t="shared" si="149"/>
        <v>8.4682543448402189E-2</v>
      </c>
      <c r="I266" s="38">
        <f t="shared" si="149"/>
        <v>8.2387033370634064E-2</v>
      </c>
      <c r="J266" s="38">
        <f t="shared" si="149"/>
        <v>8.8942898864185896E-2</v>
      </c>
      <c r="K266" s="38">
        <f t="shared" si="149"/>
        <v>9.229828157615716E-2</v>
      </c>
      <c r="L266" s="38">
        <f t="shared" si="149"/>
        <v>6.2212733812738445E-2</v>
      </c>
      <c r="M266" s="40">
        <f>AVERAGE(B266:L266)</f>
        <v>6.6427640908976446E-2</v>
      </c>
    </row>
    <row r="267" spans="1:13" ht="60">
      <c r="A267" s="43" t="s">
        <v>258</v>
      </c>
      <c r="B267" s="38"/>
      <c r="C267" s="38">
        <f>C229/B104</f>
        <v>2.2193056226793697</v>
      </c>
      <c r="D267" s="38">
        <f t="shared" ref="D267:L267" si="150">D229/C104</f>
        <v>2.0527916975571259</v>
      </c>
      <c r="E267" s="38">
        <f t="shared" si="150"/>
        <v>1.2325301912773212</v>
      </c>
      <c r="F267" s="38">
        <f t="shared" si="150"/>
        <v>1.9022829777665695</v>
      </c>
      <c r="G267" s="38">
        <f t="shared" si="150"/>
        <v>1.7304758091199435</v>
      </c>
      <c r="H267" s="38">
        <f t="shared" si="150"/>
        <v>1.7137966080396467</v>
      </c>
      <c r="I267" s="38">
        <f t="shared" si="150"/>
        <v>1.980656758052415</v>
      </c>
      <c r="J267" s="38">
        <f t="shared" si="150"/>
        <v>1.6489870249505925</v>
      </c>
      <c r="K267" s="38">
        <f t="shared" si="150"/>
        <v>2.0972480760096044</v>
      </c>
      <c r="L267" s="38">
        <f t="shared" si="150"/>
        <v>1.350031121779532</v>
      </c>
      <c r="M267" s="40">
        <f>AVERAGE(C267:L267)</f>
        <v>1.7928105887232124</v>
      </c>
    </row>
    <row r="268" spans="1:13">
      <c r="A268" s="47" t="s">
        <v>259</v>
      </c>
      <c r="B268" s="38">
        <f>B240/B229</f>
        <v>-9.829682682028806E-3</v>
      </c>
      <c r="C268" s="38">
        <f t="shared" ref="C268:L268" si="151">C240/C229</f>
        <v>1.5659357838691067E-2</v>
      </c>
      <c r="D268" s="38">
        <f t="shared" si="151"/>
        <v>-3.3769302494897316E-3</v>
      </c>
      <c r="E268" s="38">
        <f t="shared" si="151"/>
        <v>1.4534141733960313E-2</v>
      </c>
      <c r="F268" s="38">
        <f t="shared" si="151"/>
        <v>1.9458487456054031E-2</v>
      </c>
      <c r="G268" s="38">
        <f t="shared" si="151"/>
        <v>1.863513985567879E-2</v>
      </c>
      <c r="H268" s="38">
        <f t="shared" si="151"/>
        <v>2.2320905847456923E-2</v>
      </c>
      <c r="I268" s="38">
        <f t="shared" si="151"/>
        <v>1.9840105663379955E-2</v>
      </c>
      <c r="J268" s="38">
        <f t="shared" si="151"/>
        <v>2.4137857295330384E-2</v>
      </c>
      <c r="K268" s="38">
        <f t="shared" si="151"/>
        <v>2.0235947598228901E-2</v>
      </c>
      <c r="L268" s="38">
        <f t="shared" si="151"/>
        <v>2.2120080508624542E-2</v>
      </c>
      <c r="M268" s="40">
        <f>AVERAGE(B268:L268)</f>
        <v>1.4885037351444214E-2</v>
      </c>
    </row>
    <row r="269" spans="1:13" ht="30.75" thickBot="1">
      <c r="A269" s="48" t="s">
        <v>260</v>
      </c>
      <c r="B269" s="46">
        <f>B234/B229</f>
        <v>6.4842562574252754E-3</v>
      </c>
      <c r="C269" s="46">
        <f t="shared" ref="C269:L269" si="152">C234/C229</f>
        <v>2.2090829414413815E-2</v>
      </c>
      <c r="D269" s="46">
        <f t="shared" si="152"/>
        <v>1.0792603111328292E-2</v>
      </c>
      <c r="E269" s="46">
        <f t="shared" si="152"/>
        <v>2.0371251409309028E-2</v>
      </c>
      <c r="F269" s="46">
        <f t="shared" si="152"/>
        <v>2.8545699959332625E-2</v>
      </c>
      <c r="G269" s="46">
        <f t="shared" si="152"/>
        <v>1.8909802482776759E-2</v>
      </c>
      <c r="H269" s="46">
        <f t="shared" si="152"/>
        <v>2.9895608949403147E-2</v>
      </c>
      <c r="I269" s="46">
        <f t="shared" si="152"/>
        <v>2.2622997496107126E-2</v>
      </c>
      <c r="J269" s="46">
        <f t="shared" si="152"/>
        <v>3.4001337170675688E-2</v>
      </c>
      <c r="K269" s="46">
        <f t="shared" si="152"/>
        <v>2.8215121256704053E-2</v>
      </c>
      <c r="L269" s="46">
        <f t="shared" si="152"/>
        <v>3.0132240919171063E-2</v>
      </c>
      <c r="M269" s="42">
        <f>AVERAGE(B269:L269)</f>
        <v>2.2914704402422447E-2</v>
      </c>
    </row>
    <row r="271" spans="1:13" ht="15.75" thickBot="1"/>
    <row r="272" spans="1:13" ht="15.75" thickBot="1">
      <c r="A272" s="682" t="s">
        <v>264</v>
      </c>
      <c r="B272" s="683"/>
      <c r="C272" s="683"/>
      <c r="D272" s="683"/>
      <c r="E272" s="683"/>
      <c r="F272" s="683"/>
      <c r="G272" s="683"/>
      <c r="H272" s="683"/>
      <c r="I272" s="683"/>
      <c r="J272" s="683"/>
      <c r="K272" s="683"/>
      <c r="L272" s="683"/>
      <c r="M272" s="684"/>
    </row>
    <row r="273" spans="1:13" ht="30.75" thickBot="1">
      <c r="A273" s="70" t="s">
        <v>265</v>
      </c>
      <c r="B273" s="71">
        <v>9.2299999999999993E-2</v>
      </c>
      <c r="C273" s="72">
        <v>8.7499999999999994E-2</v>
      </c>
      <c r="D273" s="72">
        <v>7.6499999999999999E-2</v>
      </c>
      <c r="E273" s="72">
        <v>6.9900000000000004E-2</v>
      </c>
      <c r="F273" s="72">
        <v>6.4899999999999999E-2</v>
      </c>
      <c r="G273" s="73">
        <v>5.4975226515432629E-2</v>
      </c>
      <c r="H273" s="73">
        <v>4.8525780949691733E-2</v>
      </c>
      <c r="I273" s="74">
        <v>4.48E-2</v>
      </c>
      <c r="J273" s="74">
        <v>5.6899999999999999E-2</v>
      </c>
      <c r="K273" s="74">
        <v>7.6700000000000004E-2</v>
      </c>
      <c r="L273" s="75">
        <v>0.02</v>
      </c>
      <c r="M273" s="76">
        <f>AVERAGE(B273:L273)</f>
        <v>6.3000091587738574E-2</v>
      </c>
    </row>
  </sheetData>
  <mergeCells count="18">
    <mergeCell ref="A272:M272"/>
    <mergeCell ref="AO228:AZ228"/>
    <mergeCell ref="O1:Z1"/>
    <mergeCell ref="O3:Z3"/>
    <mergeCell ref="O228:Z228"/>
    <mergeCell ref="AB1:AM1"/>
    <mergeCell ref="AB3:AM3"/>
    <mergeCell ref="AB228:AM228"/>
    <mergeCell ref="A244:M244"/>
    <mergeCell ref="A249:M249"/>
    <mergeCell ref="A258:M258"/>
    <mergeCell ref="A265:M265"/>
    <mergeCell ref="A1:M1"/>
    <mergeCell ref="B3:M3"/>
    <mergeCell ref="A228:L228"/>
    <mergeCell ref="A243:M243"/>
    <mergeCell ref="AO1:AZ1"/>
    <mergeCell ref="AO3:AZ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Z18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M1"/>
    </sheetView>
  </sheetViews>
  <sheetFormatPr defaultColWidth="11.42578125" defaultRowHeight="15"/>
  <cols>
    <col min="1" max="1" width="13.7109375" customWidth="1"/>
    <col min="2" max="2" width="12.28515625" bestFit="1" customWidth="1"/>
    <col min="3" max="8" width="11.5703125" bestFit="1" customWidth="1"/>
    <col min="9" max="12" width="12.42578125" bestFit="1" customWidth="1"/>
    <col min="13" max="13" width="11.5703125" bestFit="1" customWidth="1"/>
    <col min="34" max="34" width="12.140625" bestFit="1" customWidth="1"/>
    <col min="39" max="39" width="11.5703125" bestFit="1" customWidth="1"/>
    <col min="42" max="46" width="11.5703125" bestFit="1" customWidth="1"/>
    <col min="47" max="47" width="12.140625" bestFit="1" customWidth="1"/>
    <col min="48" max="51" width="11.5703125" bestFit="1" customWidth="1"/>
  </cols>
  <sheetData>
    <row r="1" spans="1:52" ht="15.75" thickBot="1">
      <c r="A1" s="667" t="s">
        <v>1200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9"/>
      <c r="O1" s="667" t="s">
        <v>261</v>
      </c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9"/>
      <c r="AB1" s="667" t="s">
        <v>261</v>
      </c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9"/>
      <c r="AO1" s="676" t="s">
        <v>261</v>
      </c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8"/>
    </row>
    <row r="2" spans="1:52" ht="15.75" thickBot="1">
      <c r="A2" s="485" t="s">
        <v>80</v>
      </c>
      <c r="B2" s="486">
        <v>1999</v>
      </c>
      <c r="C2" s="487">
        <v>2000</v>
      </c>
      <c r="D2" s="486">
        <v>2001</v>
      </c>
      <c r="E2" s="487">
        <v>2002</v>
      </c>
      <c r="F2" s="486">
        <v>2003</v>
      </c>
      <c r="G2" s="487">
        <v>2004</v>
      </c>
      <c r="H2" s="486">
        <v>2005</v>
      </c>
      <c r="I2" s="487">
        <v>2006</v>
      </c>
      <c r="J2" s="486">
        <v>2007</v>
      </c>
      <c r="K2" s="487">
        <v>2008</v>
      </c>
      <c r="L2" s="486">
        <v>2009</v>
      </c>
      <c r="M2" s="484" t="s">
        <v>81</v>
      </c>
      <c r="O2" s="480">
        <v>1999</v>
      </c>
      <c r="P2" s="481">
        <v>2000</v>
      </c>
      <c r="Q2" s="482">
        <v>2001</v>
      </c>
      <c r="R2" s="481">
        <v>2002</v>
      </c>
      <c r="S2" s="482">
        <v>2003</v>
      </c>
      <c r="T2" s="481">
        <v>2004</v>
      </c>
      <c r="U2" s="482">
        <v>2005</v>
      </c>
      <c r="V2" s="481">
        <v>2006</v>
      </c>
      <c r="W2" s="482">
        <v>2007</v>
      </c>
      <c r="X2" s="481">
        <v>2008</v>
      </c>
      <c r="Y2" s="483">
        <v>2009</v>
      </c>
      <c r="Z2" s="484" t="s">
        <v>81</v>
      </c>
      <c r="AB2" s="480">
        <v>1999</v>
      </c>
      <c r="AC2" s="481">
        <v>2000</v>
      </c>
      <c r="AD2" s="482">
        <v>2001</v>
      </c>
      <c r="AE2" s="481">
        <v>2002</v>
      </c>
      <c r="AF2" s="482">
        <v>2003</v>
      </c>
      <c r="AG2" s="481">
        <v>2004</v>
      </c>
      <c r="AH2" s="482">
        <v>2005</v>
      </c>
      <c r="AI2" s="481">
        <v>2006</v>
      </c>
      <c r="AJ2" s="482">
        <v>2007</v>
      </c>
      <c r="AK2" s="481">
        <v>2008</v>
      </c>
      <c r="AL2" s="483">
        <v>2009</v>
      </c>
      <c r="AM2" s="484" t="s">
        <v>81</v>
      </c>
      <c r="AO2" s="50">
        <v>1999</v>
      </c>
      <c r="AP2" s="51">
        <v>2000</v>
      </c>
      <c r="AQ2" s="52">
        <v>2001</v>
      </c>
      <c r="AR2" s="51">
        <v>2002</v>
      </c>
      <c r="AS2" s="52">
        <v>2003</v>
      </c>
      <c r="AT2" s="51">
        <v>2004</v>
      </c>
      <c r="AU2" s="52">
        <v>2005</v>
      </c>
      <c r="AV2" s="51">
        <v>2006</v>
      </c>
      <c r="AW2" s="52">
        <v>2007</v>
      </c>
      <c r="AX2" s="51">
        <v>2008</v>
      </c>
      <c r="AY2" s="53">
        <v>2009</v>
      </c>
      <c r="AZ2" s="6" t="s">
        <v>81</v>
      </c>
    </row>
    <row r="3" spans="1:52" ht="15.75" thickBot="1">
      <c r="A3" s="7"/>
      <c r="B3" s="670" t="s">
        <v>82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  <c r="O3" s="679" t="s">
        <v>262</v>
      </c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1"/>
      <c r="AB3" s="679" t="s">
        <v>263</v>
      </c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1"/>
      <c r="AO3" s="696" t="s">
        <v>268</v>
      </c>
      <c r="AP3" s="697"/>
      <c r="AQ3" s="697"/>
      <c r="AR3" s="697"/>
      <c r="AS3" s="697"/>
      <c r="AT3" s="697"/>
      <c r="AU3" s="697"/>
      <c r="AV3" s="697"/>
      <c r="AW3" s="697"/>
      <c r="AX3" s="697"/>
      <c r="AY3" s="697"/>
      <c r="AZ3" s="698"/>
    </row>
    <row r="4" spans="1:52">
      <c r="A4" s="514" t="s">
        <v>0</v>
      </c>
      <c r="B4" s="492">
        <v>525641</v>
      </c>
      <c r="C4" s="493">
        <v>292460</v>
      </c>
      <c r="D4" s="493">
        <v>116375</v>
      </c>
      <c r="E4" s="493">
        <v>140885</v>
      </c>
      <c r="F4" s="493">
        <v>159995</v>
      </c>
      <c r="G4" s="493">
        <v>208802</v>
      </c>
      <c r="H4" s="493">
        <v>533707</v>
      </c>
      <c r="I4" s="493">
        <v>803720</v>
      </c>
      <c r="J4" s="493">
        <v>1139446</v>
      </c>
      <c r="K4" s="493">
        <v>1168606</v>
      </c>
      <c r="L4" s="494">
        <v>1174282</v>
      </c>
      <c r="M4" s="463"/>
      <c r="O4" s="55">
        <f>B4/$B$69</f>
        <v>1.314269477937172E-2</v>
      </c>
      <c r="P4" s="56">
        <f>C4/$C$69</f>
        <v>1.4395769968925496E-2</v>
      </c>
      <c r="Q4" s="56">
        <f>D4/$D$69</f>
        <v>1.1594266140986874E-2</v>
      </c>
      <c r="R4" s="56">
        <f>E4/$E$69</f>
        <v>9.0386428043331586E-3</v>
      </c>
      <c r="S4" s="56">
        <f>F4/$F$69</f>
        <v>7.1190530188909532E-3</v>
      </c>
      <c r="T4" s="56">
        <f>G4/$G$69</f>
        <v>8.5071053205404215E-3</v>
      </c>
      <c r="U4" s="56">
        <f>H4/$H$69</f>
        <v>1.1378541345989807E-2</v>
      </c>
      <c r="V4" s="56">
        <f>I4/$I$69</f>
        <v>6.3827311686975976E-3</v>
      </c>
      <c r="W4" s="56">
        <f>J4/$J$69</f>
        <v>1.755306151454222E-2</v>
      </c>
      <c r="X4" s="56">
        <f>K4/$K$69</f>
        <v>1.1500644651813866E-2</v>
      </c>
      <c r="Y4" s="57">
        <f>L4/$L$69</f>
        <v>7.4195441471634014E-3</v>
      </c>
      <c r="Z4" s="57">
        <f>AVERAGE(O4:Y4)</f>
        <v>1.0730186805568686E-2</v>
      </c>
      <c r="AB4" s="67"/>
      <c r="AC4" s="56">
        <f>+IF(B4=0,"",C4/B4-1)</f>
        <v>-0.44361265578598319</v>
      </c>
      <c r="AD4" s="56">
        <f t="shared" ref="AD4:AL19" si="0">+IF(C4=0,"",D4/C4-1)</f>
        <v>-0.60208233604595507</v>
      </c>
      <c r="AE4" s="56">
        <f t="shared" si="0"/>
        <v>0.21061224489795927</v>
      </c>
      <c r="AF4" s="56">
        <f t="shared" si="0"/>
        <v>0.13564254533839648</v>
      </c>
      <c r="AG4" s="56">
        <f t="shared" si="0"/>
        <v>0.30505328291509115</v>
      </c>
      <c r="AH4" s="56">
        <f t="shared" si="0"/>
        <v>1.5560435244873134</v>
      </c>
      <c r="AI4" s="56">
        <f t="shared" si="0"/>
        <v>0.50591991485965138</v>
      </c>
      <c r="AJ4" s="56">
        <f t="shared" si="0"/>
        <v>0.41771512467028327</v>
      </c>
      <c r="AK4" s="56">
        <f t="shared" si="0"/>
        <v>2.5591383883044827E-2</v>
      </c>
      <c r="AL4" s="56">
        <f t="shared" si="0"/>
        <v>4.8570690206963807E-3</v>
      </c>
      <c r="AM4" s="64">
        <f>AVERAGE(AB4:AL4)</f>
        <v>0.21157400982404981</v>
      </c>
      <c r="AO4" s="55"/>
      <c r="AP4" s="56">
        <f>IF(AC4="",,(((AC4+1)/($C$183+1))-1))</f>
        <v>-0.4883794535963063</v>
      </c>
      <c r="AQ4" s="56">
        <f>IF(AD4="",,(((AD4+1)/($D$183+1))-1))</f>
        <v>-0.63035981053967027</v>
      </c>
      <c r="AR4" s="56">
        <f>IF(AE4="",,(((AE4+1)/($E$183+1))-1))</f>
        <v>0.13151906243383427</v>
      </c>
      <c r="AS4" s="56">
        <f>IF(AF4="",,(((AF4+1)/($F$183+1))-1))</f>
        <v>6.643116286824724E-2</v>
      </c>
      <c r="AT4" s="56">
        <f>IF(AG4="",,(((AG4+1)/($G$183+1))-1))</f>
        <v>0.23704637807056628</v>
      </c>
      <c r="AU4" s="56">
        <f>IF(AH4="",,(((AH4+1)/($H$183+1))-1))</f>
        <v>1.4377498111416989</v>
      </c>
      <c r="AV4" s="56">
        <f>IF(AI4="",,(((AI4+1)/($I$183+1))-1))</f>
        <v>0.44134754485035543</v>
      </c>
      <c r="AW4" s="56">
        <f>IF(AJ4="",,(((AJ4+1)/($J$183+1))-1))</f>
        <v>0.34139003185758665</v>
      </c>
      <c r="AX4" s="56">
        <f>IF(AK4="",,(((AK4+1)/($K$183+1))-1))</f>
        <v>-4.7467833302642481E-2</v>
      </c>
      <c r="AY4" s="56">
        <f>IF(AL4="",,(((AL4+1)/($L$183+1))-1))</f>
        <v>-1.4846010764023143E-2</v>
      </c>
      <c r="AZ4" s="64">
        <f>AVERAGE(AO4:AY4)</f>
        <v>0.14744308830196465</v>
      </c>
    </row>
    <row r="5" spans="1:52">
      <c r="A5" s="515" t="s">
        <v>1</v>
      </c>
      <c r="B5" s="495">
        <v>189661</v>
      </c>
      <c r="C5" s="496">
        <v>182105</v>
      </c>
      <c r="D5" s="496">
        <v>186889</v>
      </c>
      <c r="E5" s="496">
        <v>187987</v>
      </c>
      <c r="F5" s="496">
        <v>331084</v>
      </c>
      <c r="G5" s="496">
        <v>590309</v>
      </c>
      <c r="H5" s="496">
        <v>1539417</v>
      </c>
      <c r="I5" s="496">
        <v>1448653</v>
      </c>
      <c r="J5" s="496">
        <v>1285382</v>
      </c>
      <c r="K5" s="496">
        <v>2244599</v>
      </c>
      <c r="L5" s="497">
        <v>2385393</v>
      </c>
      <c r="M5" s="463"/>
      <c r="O5" s="58">
        <f t="shared" ref="O5:O68" si="1">B5/$B$69</f>
        <v>4.7421274872972612E-3</v>
      </c>
      <c r="P5" s="59">
        <f t="shared" ref="P5:P68" si="2">C5/$C$69</f>
        <v>8.9637615065006407E-3</v>
      </c>
      <c r="Q5" s="59">
        <f t="shared" ref="Q5:Q68" si="3">D5/$D$69</f>
        <v>1.8619469858843361E-2</v>
      </c>
      <c r="R5" s="59">
        <f t="shared" ref="R5:R68" si="4">E5/$E$69</f>
        <v>1.2060526989091654E-2</v>
      </c>
      <c r="S5" s="59">
        <f t="shared" ref="S5:S68" si="5">F5/$F$69</f>
        <v>1.4731738802503155E-2</v>
      </c>
      <c r="T5" s="59">
        <f t="shared" ref="T5:T68" si="6">G5/$G$69</f>
        <v>2.4050635696319458E-2</v>
      </c>
      <c r="U5" s="59">
        <f t="shared" ref="U5:U68" si="7">H5/$H$69</f>
        <v>3.2820105382203327E-2</v>
      </c>
      <c r="V5" s="59">
        <f t="shared" ref="V5:V68" si="8">I5/$I$69</f>
        <v>1.1504457591856965E-2</v>
      </c>
      <c r="W5" s="59">
        <f t="shared" ref="W5:W68" si="9">J5/$J$69</f>
        <v>1.9801192259822145E-2</v>
      </c>
      <c r="X5" s="59">
        <f t="shared" ref="X5:X68" si="10">K5/$K$69</f>
        <v>2.2089853624589255E-2</v>
      </c>
      <c r="Y5" s="60">
        <f t="shared" ref="Y5:Y68" si="11">L5/$L$69</f>
        <v>1.5071787417191566E-2</v>
      </c>
      <c r="Z5" s="60">
        <f>AVERAGE(O5:Y5)</f>
        <v>1.6768696056019893E-2</v>
      </c>
      <c r="AB5" s="68"/>
      <c r="AC5" s="59">
        <f>+IF(B5=0,"",C5/B5-1)</f>
        <v>-3.9839503113449748E-2</v>
      </c>
      <c r="AD5" s="59">
        <f t="shared" si="0"/>
        <v>2.6270558194448235E-2</v>
      </c>
      <c r="AE5" s="59">
        <f t="shared" si="0"/>
        <v>5.8751451396283905E-3</v>
      </c>
      <c r="AF5" s="59">
        <f t="shared" si="0"/>
        <v>0.76120689196593383</v>
      </c>
      <c r="AG5" s="59">
        <f t="shared" si="0"/>
        <v>0.78295840330550548</v>
      </c>
      <c r="AH5" s="59">
        <f t="shared" si="0"/>
        <v>1.6078155677789092</v>
      </c>
      <c r="AI5" s="59">
        <f t="shared" si="0"/>
        <v>-5.895998290261828E-2</v>
      </c>
      <c r="AJ5" s="59">
        <f t="shared" si="0"/>
        <v>-0.11270538907523053</v>
      </c>
      <c r="AK5" s="59">
        <f t="shared" si="0"/>
        <v>0.74625053097055982</v>
      </c>
      <c r="AL5" s="59">
        <f t="shared" si="0"/>
        <v>6.2725680622685909E-2</v>
      </c>
      <c r="AM5" s="65">
        <f t="shared" ref="AM5:AM68" si="12">AVERAGE(AB5:AL5)</f>
        <v>0.37815979028863722</v>
      </c>
      <c r="AO5" s="58"/>
      <c r="AP5" s="59">
        <f t="shared" ref="AP5:AP68" si="13">IF(AC5="",,(((AC5+1)/($C$183+1))-1))</f>
        <v>-0.11709379596639047</v>
      </c>
      <c r="AQ5" s="59">
        <f t="shared" ref="AQ5:AQ68" si="14">IF(AD5="",,(((AD5+1)/($D$183+1))-1))</f>
        <v>-4.6659955230424321E-2</v>
      </c>
      <c r="AR5" s="59">
        <f t="shared" ref="AR5:AR68" si="15">IF(AE5="",,(((AE5+1)/($E$183+1))-1))</f>
        <v>-5.9841905655081518E-2</v>
      </c>
      <c r="AS5" s="59">
        <f t="shared" ref="AS5:AS68" si="16">IF(AF5="",,(((AF5+1)/($F$183+1))-1))</f>
        <v>0.65387068453933139</v>
      </c>
      <c r="AT5" s="59">
        <f t="shared" ref="AT5:AT68" si="17">IF(AG5="",,(((AG5+1)/($G$183+1))-1))</f>
        <v>0.69004765087668485</v>
      </c>
      <c r="AU5" s="59">
        <f t="shared" ref="AU5:AU68" si="18">IF(AH5="",,(((AH5+1)/($H$183+1))-1))</f>
        <v>1.4871258438842641</v>
      </c>
      <c r="AV5" s="59">
        <f t="shared" ref="AV5:AV68" si="19">IF(AI5="",,(((AI5+1)/($I$183+1))-1))</f>
        <v>-9.9310856530071101E-2</v>
      </c>
      <c r="AW5" s="59">
        <f t="shared" ref="AW5:AW68" si="20">IF(AJ5="",,(((AJ5+1)/($J$183+1))-1))</f>
        <v>-0.16047439594590829</v>
      </c>
      <c r="AX5" s="59">
        <f t="shared" ref="AX5:AX68" si="21">IF(AK5="",,(((AK5+1)/($K$183+1))-1))</f>
        <v>0.62185430572170497</v>
      </c>
      <c r="AY5" s="59">
        <f t="shared" ref="AY5:AY68" si="22">IF(AL5="",,(((AL5+1)/($L$183+1))-1))</f>
        <v>4.1887922179103754E-2</v>
      </c>
      <c r="AZ5" s="65">
        <f t="shared" ref="AZ5:AZ68" si="23">AVERAGE(AO5:AY5)</f>
        <v>0.30114054978732135</v>
      </c>
    </row>
    <row r="6" spans="1:52" ht="25.5">
      <c r="A6" s="515" t="s">
        <v>2</v>
      </c>
      <c r="B6" s="495">
        <v>430411</v>
      </c>
      <c r="C6" s="496">
        <v>121094</v>
      </c>
      <c r="D6" s="496">
        <v>10621</v>
      </c>
      <c r="E6" s="496">
        <v>26959</v>
      </c>
      <c r="F6" s="496">
        <v>350989</v>
      </c>
      <c r="G6" s="496">
        <v>426353</v>
      </c>
      <c r="H6" s="496">
        <v>278068</v>
      </c>
      <c r="I6" s="496">
        <v>711743</v>
      </c>
      <c r="J6" s="496">
        <v>490987</v>
      </c>
      <c r="K6" s="496">
        <v>1530490</v>
      </c>
      <c r="L6" s="497">
        <v>1197982</v>
      </c>
      <c r="M6" s="463"/>
      <c r="O6" s="58">
        <f t="shared" si="1"/>
        <v>1.0761642266649978E-2</v>
      </c>
      <c r="P6" s="59">
        <f t="shared" si="2"/>
        <v>5.9606146776210898E-3</v>
      </c>
      <c r="Q6" s="59">
        <f t="shared" si="3"/>
        <v>1.0581542486223124E-3</v>
      </c>
      <c r="R6" s="59">
        <f t="shared" si="4"/>
        <v>1.7295863389432348E-3</v>
      </c>
      <c r="S6" s="59">
        <f t="shared" si="5"/>
        <v>1.5617421169708533E-2</v>
      </c>
      <c r="T6" s="59">
        <f t="shared" si="6"/>
        <v>1.7370666347680433E-2</v>
      </c>
      <c r="U6" s="59">
        <f t="shared" si="7"/>
        <v>5.9283618820751716E-3</v>
      </c>
      <c r="V6" s="59">
        <f t="shared" si="8"/>
        <v>5.6522971062090456E-3</v>
      </c>
      <c r="W6" s="59">
        <f t="shared" si="9"/>
        <v>7.5636098716749542E-3</v>
      </c>
      <c r="X6" s="59">
        <f t="shared" si="10"/>
        <v>1.5062066798522858E-2</v>
      </c>
      <c r="Y6" s="60">
        <f t="shared" si="11"/>
        <v>7.5692894351672814E-3</v>
      </c>
      <c r="Z6" s="60">
        <f t="shared" ref="Z6:Z68" si="24">AVERAGE(O6:Y6)</f>
        <v>8.5703372857158996E-3</v>
      </c>
      <c r="AB6" s="68"/>
      <c r="AC6" s="59">
        <f t="shared" ref="AC6:AG69" si="25">+IF(B6=0,"",C6/B6-1)</f>
        <v>-0.71865496002657925</v>
      </c>
      <c r="AD6" s="59">
        <f t="shared" si="0"/>
        <v>-0.91229127785026509</v>
      </c>
      <c r="AE6" s="59">
        <f t="shared" si="0"/>
        <v>1.5382732322756802</v>
      </c>
      <c r="AF6" s="59">
        <f t="shared" si="0"/>
        <v>12.019362736006528</v>
      </c>
      <c r="AG6" s="59">
        <f t="shared" si="0"/>
        <v>0.21471897979708765</v>
      </c>
      <c r="AH6" s="59">
        <f t="shared" si="0"/>
        <v>-0.34779865510504204</v>
      </c>
      <c r="AI6" s="59">
        <f t="shared" si="0"/>
        <v>1.5596005293669175</v>
      </c>
      <c r="AJ6" s="59">
        <f t="shared" si="0"/>
        <v>-0.31016251652633042</v>
      </c>
      <c r="AK6" s="59">
        <f t="shared" si="0"/>
        <v>2.1171701083735415</v>
      </c>
      <c r="AL6" s="59">
        <f t="shared" si="0"/>
        <v>-0.21725591150546553</v>
      </c>
      <c r="AM6" s="65">
        <f t="shared" si="12"/>
        <v>1.4942962264806074</v>
      </c>
      <c r="AO6" s="58"/>
      <c r="AP6" s="59">
        <f t="shared" si="13"/>
        <v>-0.74129191726582</v>
      </c>
      <c r="AQ6" s="59">
        <f t="shared" si="14"/>
        <v>-0.91852417821668841</v>
      </c>
      <c r="AR6" s="59">
        <f t="shared" si="15"/>
        <v>1.3724396974256288</v>
      </c>
      <c r="AS6" s="59">
        <f t="shared" si="16"/>
        <v>11.225901714721127</v>
      </c>
      <c r="AT6" s="59">
        <f t="shared" si="17"/>
        <v>0.1514194355153593</v>
      </c>
      <c r="AU6" s="59">
        <f t="shared" si="18"/>
        <v>-0.37798253820308247</v>
      </c>
      <c r="AV6" s="59">
        <f t="shared" si="19"/>
        <v>1.4498473673113685</v>
      </c>
      <c r="AW6" s="59">
        <f t="shared" si="20"/>
        <v>-0.34730108480114519</v>
      </c>
      <c r="AX6" s="59">
        <f t="shared" si="21"/>
        <v>1.895114802984621</v>
      </c>
      <c r="AY6" s="59">
        <f t="shared" si="22"/>
        <v>-0.23260383480927993</v>
      </c>
      <c r="AZ6" s="65">
        <f t="shared" si="23"/>
        <v>1.3477019464662088</v>
      </c>
    </row>
    <row r="7" spans="1:52">
      <c r="A7" s="515" t="s">
        <v>85</v>
      </c>
      <c r="B7" s="495"/>
      <c r="C7" s="496"/>
      <c r="D7" s="496"/>
      <c r="E7" s="496"/>
      <c r="F7" s="496"/>
      <c r="G7" s="496"/>
      <c r="H7" s="496"/>
      <c r="I7" s="496"/>
      <c r="J7" s="496">
        <v>787</v>
      </c>
      <c r="K7" s="496"/>
      <c r="L7" s="497">
        <v>101838</v>
      </c>
      <c r="M7" s="463"/>
      <c r="O7" s="58">
        <f t="shared" si="1"/>
        <v>0</v>
      </c>
      <c r="P7" s="59">
        <f t="shared" si="2"/>
        <v>0</v>
      </c>
      <c r="Q7" s="59">
        <f t="shared" si="3"/>
        <v>0</v>
      </c>
      <c r="R7" s="59">
        <f t="shared" si="4"/>
        <v>0</v>
      </c>
      <c r="S7" s="59">
        <f t="shared" si="5"/>
        <v>0</v>
      </c>
      <c r="T7" s="59">
        <f t="shared" si="6"/>
        <v>0</v>
      </c>
      <c r="U7" s="59">
        <f t="shared" si="7"/>
        <v>0</v>
      </c>
      <c r="V7" s="59">
        <f t="shared" si="8"/>
        <v>0</v>
      </c>
      <c r="W7" s="59">
        <f t="shared" si="9"/>
        <v>1.2123663088856098E-5</v>
      </c>
      <c r="X7" s="59">
        <f t="shared" si="10"/>
        <v>0</v>
      </c>
      <c r="Y7" s="60">
        <f t="shared" si="11"/>
        <v>6.4344981602274963E-4</v>
      </c>
      <c r="Z7" s="60">
        <f t="shared" si="24"/>
        <v>5.9597589010145981E-5</v>
      </c>
      <c r="AB7" s="68"/>
      <c r="AC7" s="59" t="str">
        <f t="shared" si="25"/>
        <v/>
      </c>
      <c r="AD7" s="59" t="str">
        <f t="shared" si="0"/>
        <v/>
      </c>
      <c r="AE7" s="59" t="str">
        <f t="shared" si="0"/>
        <v/>
      </c>
      <c r="AF7" s="59" t="str">
        <f t="shared" si="0"/>
        <v/>
      </c>
      <c r="AG7" s="59" t="str">
        <f t="shared" si="0"/>
        <v/>
      </c>
      <c r="AH7" s="59" t="str">
        <f t="shared" si="0"/>
        <v/>
      </c>
      <c r="AI7" s="59" t="str">
        <f t="shared" si="0"/>
        <v/>
      </c>
      <c r="AJ7" s="59" t="str">
        <f t="shared" si="0"/>
        <v/>
      </c>
      <c r="AK7" s="59">
        <f t="shared" si="0"/>
        <v>-1</v>
      </c>
      <c r="AL7" s="59" t="str">
        <f t="shared" si="0"/>
        <v/>
      </c>
      <c r="AM7" s="65">
        <f t="shared" si="12"/>
        <v>-1</v>
      </c>
      <c r="AO7" s="58"/>
      <c r="AP7" s="59">
        <f t="shared" si="13"/>
        <v>0</v>
      </c>
      <c r="AQ7" s="59">
        <f t="shared" si="14"/>
        <v>0</v>
      </c>
      <c r="AR7" s="59">
        <f t="shared" si="15"/>
        <v>0</v>
      </c>
      <c r="AS7" s="59">
        <f t="shared" si="16"/>
        <v>0</v>
      </c>
      <c r="AT7" s="59">
        <f t="shared" si="17"/>
        <v>0</v>
      </c>
      <c r="AU7" s="59">
        <f t="shared" si="18"/>
        <v>0</v>
      </c>
      <c r="AV7" s="59">
        <f t="shared" si="19"/>
        <v>0</v>
      </c>
      <c r="AW7" s="59">
        <f t="shared" si="20"/>
        <v>0</v>
      </c>
      <c r="AX7" s="59">
        <f t="shared" si="21"/>
        <v>-1</v>
      </c>
      <c r="AY7" s="59">
        <f t="shared" si="22"/>
        <v>0</v>
      </c>
      <c r="AZ7" s="65">
        <f t="shared" si="23"/>
        <v>-0.1</v>
      </c>
    </row>
    <row r="8" spans="1:52" ht="25.5">
      <c r="A8" s="515" t="s">
        <v>3</v>
      </c>
      <c r="B8" s="495">
        <v>1145713</v>
      </c>
      <c r="C8" s="496">
        <v>595659</v>
      </c>
      <c r="D8" s="496">
        <v>313885</v>
      </c>
      <c r="E8" s="496">
        <v>355831</v>
      </c>
      <c r="F8" s="496">
        <v>842068</v>
      </c>
      <c r="G8" s="496">
        <v>1225464</v>
      </c>
      <c r="H8" s="496">
        <v>2351192</v>
      </c>
      <c r="I8" s="496">
        <v>2964116</v>
      </c>
      <c r="J8" s="496">
        <v>2916602</v>
      </c>
      <c r="K8" s="496">
        <v>4943695</v>
      </c>
      <c r="L8" s="497">
        <v>4859495</v>
      </c>
      <c r="M8" s="463"/>
      <c r="O8" s="58">
        <f t="shared" si="1"/>
        <v>2.8646464533318958E-2</v>
      </c>
      <c r="P8" s="59">
        <f t="shared" si="2"/>
        <v>2.9320146153047226E-2</v>
      </c>
      <c r="Q8" s="59">
        <f t="shared" si="3"/>
        <v>3.1271890248452547E-2</v>
      </c>
      <c r="R8" s="59">
        <f t="shared" si="4"/>
        <v>2.2828756132368049E-2</v>
      </c>
      <c r="S8" s="59">
        <f t="shared" si="5"/>
        <v>3.7468212991102638E-2</v>
      </c>
      <c r="T8" s="59">
        <f t="shared" si="6"/>
        <v>4.9928407364540316E-2</v>
      </c>
      <c r="U8" s="59">
        <f t="shared" si="7"/>
        <v>5.0127008610268302E-2</v>
      </c>
      <c r="V8" s="59">
        <f t="shared" si="8"/>
        <v>2.3539485866763608E-2</v>
      </c>
      <c r="W8" s="59">
        <f t="shared" si="9"/>
        <v>4.4929987309128172E-2</v>
      </c>
      <c r="X8" s="59">
        <f t="shared" si="10"/>
        <v>4.8652565074925984E-2</v>
      </c>
      <c r="Y8" s="60">
        <f t="shared" si="11"/>
        <v>3.0704070815545E-2</v>
      </c>
      <c r="Z8" s="60">
        <f t="shared" si="24"/>
        <v>3.6128817736314621E-2</v>
      </c>
      <c r="AB8" s="68"/>
      <c r="AC8" s="59">
        <f t="shared" si="25"/>
        <v>-0.48009754624412915</v>
      </c>
      <c r="AD8" s="59">
        <f t="shared" si="0"/>
        <v>-0.47304581983987481</v>
      </c>
      <c r="AE8" s="59">
        <f t="shared" si="0"/>
        <v>0.13363492999028304</v>
      </c>
      <c r="AF8" s="59">
        <f t="shared" si="0"/>
        <v>1.3664829652278749</v>
      </c>
      <c r="AG8" s="59">
        <f t="shared" si="0"/>
        <v>0.45530289715319894</v>
      </c>
      <c r="AH8" s="59">
        <f t="shared" si="0"/>
        <v>0.91861368428611523</v>
      </c>
      <c r="AI8" s="59">
        <f t="shared" si="0"/>
        <v>0.26068649433989233</v>
      </c>
      <c r="AJ8" s="59">
        <f t="shared" si="0"/>
        <v>-1.6029737027835611E-2</v>
      </c>
      <c r="AK8" s="59">
        <f t="shared" si="0"/>
        <v>0.69501872384370578</v>
      </c>
      <c r="AL8" s="59">
        <f t="shared" si="0"/>
        <v>-1.7031795043990328E-2</v>
      </c>
      <c r="AM8" s="65">
        <f t="shared" si="12"/>
        <v>0.28435347966852398</v>
      </c>
      <c r="AO8" s="58"/>
      <c r="AP8" s="59">
        <f t="shared" si="13"/>
        <v>-0.52192877815552108</v>
      </c>
      <c r="AQ8" s="59">
        <f t="shared" si="14"/>
        <v>-0.51049309785404073</v>
      </c>
      <c r="AR8" s="59">
        <f t="shared" si="15"/>
        <v>5.957092250704088E-2</v>
      </c>
      <c r="AS8" s="59">
        <f t="shared" si="16"/>
        <v>1.222258395368462</v>
      </c>
      <c r="AT8" s="59">
        <f t="shared" si="17"/>
        <v>0.37946641833481021</v>
      </c>
      <c r="AU8" s="59">
        <f t="shared" si="18"/>
        <v>0.82982022869132521</v>
      </c>
      <c r="AV8" s="59">
        <f t="shared" si="19"/>
        <v>0.20662949305119871</v>
      </c>
      <c r="AW8" s="59">
        <f t="shared" si="20"/>
        <v>-6.9003441222287409E-2</v>
      </c>
      <c r="AX8" s="59">
        <f t="shared" si="21"/>
        <v>0.5742720570666906</v>
      </c>
      <c r="AY8" s="59">
        <f t="shared" si="22"/>
        <v>-3.6305681415676805E-2</v>
      </c>
      <c r="AZ8" s="65">
        <f t="shared" si="23"/>
        <v>0.21342865163720015</v>
      </c>
    </row>
    <row r="9" spans="1:52" ht="38.25">
      <c r="A9" s="515" t="s">
        <v>4</v>
      </c>
      <c r="B9" s="495">
        <v>65050</v>
      </c>
      <c r="C9" s="496">
        <v>1764848</v>
      </c>
      <c r="D9" s="496">
        <v>1922847</v>
      </c>
      <c r="E9" s="496">
        <v>1741901</v>
      </c>
      <c r="F9" s="496">
        <v>131061</v>
      </c>
      <c r="G9" s="496">
        <v>42393</v>
      </c>
      <c r="H9" s="496">
        <v>476766</v>
      </c>
      <c r="I9" s="496">
        <v>877470</v>
      </c>
      <c r="J9" s="496">
        <v>4048659</v>
      </c>
      <c r="K9" s="496">
        <v>3123254</v>
      </c>
      <c r="L9" s="497">
        <v>5359970</v>
      </c>
      <c r="M9" s="463"/>
      <c r="O9" s="58">
        <f t="shared" si="1"/>
        <v>1.6264566413162792E-3</v>
      </c>
      <c r="P9" s="59">
        <f t="shared" si="2"/>
        <v>8.6871181830398075E-2</v>
      </c>
      <c r="Q9" s="59">
        <f t="shared" si="3"/>
        <v>0.19157035330954403</v>
      </c>
      <c r="R9" s="59">
        <f t="shared" si="4"/>
        <v>0.11175370649473496</v>
      </c>
      <c r="S9" s="59">
        <f t="shared" si="5"/>
        <v>5.8316210363378055E-3</v>
      </c>
      <c r="T9" s="59">
        <f t="shared" si="6"/>
        <v>1.7271947388131821E-3</v>
      </c>
      <c r="U9" s="59">
        <f t="shared" si="7"/>
        <v>1.0164569030127347E-2</v>
      </c>
      <c r="V9" s="59">
        <f t="shared" si="8"/>
        <v>6.9684157649393822E-3</v>
      </c>
      <c r="W9" s="59">
        <f t="shared" si="9"/>
        <v>6.2369221953831058E-2</v>
      </c>
      <c r="X9" s="59">
        <f t="shared" si="10"/>
        <v>3.0736992973984613E-2</v>
      </c>
      <c r="Y9" s="60">
        <f t="shared" si="11"/>
        <v>3.3866255330892762E-2</v>
      </c>
      <c r="Z9" s="60">
        <f t="shared" si="24"/>
        <v>4.9407815373174492E-2</v>
      </c>
      <c r="AB9" s="68"/>
      <c r="AC9" s="59">
        <f t="shared" si="25"/>
        <v>26.1306379707917</v>
      </c>
      <c r="AD9" s="59">
        <f t="shared" si="0"/>
        <v>8.9525556875152956E-2</v>
      </c>
      <c r="AE9" s="59">
        <f t="shared" si="0"/>
        <v>-9.4103170975121775E-2</v>
      </c>
      <c r="AF9" s="59">
        <f t="shared" si="0"/>
        <v>-0.92475978830025363</v>
      </c>
      <c r="AG9" s="59">
        <f t="shared" si="0"/>
        <v>-0.67653993178748828</v>
      </c>
      <c r="AH9" s="59">
        <f t="shared" si="0"/>
        <v>10.24633783879414</v>
      </c>
      <c r="AI9" s="59">
        <f t="shared" si="0"/>
        <v>0.84046261688123725</v>
      </c>
      <c r="AJ9" s="59">
        <f t="shared" si="0"/>
        <v>3.6140141543300626</v>
      </c>
      <c r="AK9" s="59">
        <f t="shared" si="0"/>
        <v>-0.22857074404142208</v>
      </c>
      <c r="AL9" s="59">
        <f t="shared" si="0"/>
        <v>0.71614924690723192</v>
      </c>
      <c r="AM9" s="65">
        <f t="shared" si="12"/>
        <v>3.9713153749475247</v>
      </c>
      <c r="AO9" s="58"/>
      <c r="AP9" s="59">
        <f t="shared" si="13"/>
        <v>23.94771307659007</v>
      </c>
      <c r="AQ9" s="59">
        <f t="shared" si="14"/>
        <v>1.2099913492942926E-2</v>
      </c>
      <c r="AR9" s="59">
        <f t="shared" si="15"/>
        <v>-0.15328831757652284</v>
      </c>
      <c r="AS9" s="59">
        <f t="shared" si="16"/>
        <v>-0.92934527965090963</v>
      </c>
      <c r="AT9" s="59">
        <f t="shared" si="17"/>
        <v>-0.6933955792678701</v>
      </c>
      <c r="AU9" s="59">
        <f t="shared" si="18"/>
        <v>9.7258572398743333</v>
      </c>
      <c r="AV9" s="59">
        <f t="shared" si="19"/>
        <v>0.76154538369184288</v>
      </c>
      <c r="AW9" s="59">
        <f t="shared" si="20"/>
        <v>3.3656108944366192</v>
      </c>
      <c r="AX9" s="59">
        <f t="shared" si="21"/>
        <v>-0.28352442095423247</v>
      </c>
      <c r="AY9" s="59">
        <f t="shared" si="22"/>
        <v>0.68249926167375685</v>
      </c>
      <c r="AZ9" s="65">
        <f t="shared" si="23"/>
        <v>3.643577217231003</v>
      </c>
    </row>
    <row r="10" spans="1:52">
      <c r="A10" s="515" t="s">
        <v>5</v>
      </c>
      <c r="B10" s="495">
        <v>17415352</v>
      </c>
      <c r="C10" s="496">
        <v>1928119</v>
      </c>
      <c r="D10" s="496">
        <v>266734</v>
      </c>
      <c r="E10" s="496">
        <v>1779608</v>
      </c>
      <c r="F10" s="496">
        <v>2327173</v>
      </c>
      <c r="G10" s="496">
        <v>6324213</v>
      </c>
      <c r="H10" s="496">
        <v>5720249</v>
      </c>
      <c r="I10" s="496">
        <v>62363129</v>
      </c>
      <c r="J10" s="496">
        <v>6388197</v>
      </c>
      <c r="K10" s="496">
        <v>14304013</v>
      </c>
      <c r="L10" s="497">
        <v>42431249</v>
      </c>
      <c r="M10" s="463"/>
      <c r="O10" s="58">
        <f t="shared" si="1"/>
        <v>0.43543912254051875</v>
      </c>
      <c r="P10" s="59">
        <f t="shared" si="2"/>
        <v>9.4907876621468434E-2</v>
      </c>
      <c r="Q10" s="59">
        <f t="shared" si="3"/>
        <v>2.6574307066380174E-2</v>
      </c>
      <c r="R10" s="59">
        <f t="shared" si="4"/>
        <v>0.11417284340940288</v>
      </c>
      <c r="S10" s="59">
        <f t="shared" si="5"/>
        <v>0.10354866071521933</v>
      </c>
      <c r="T10" s="59">
        <f t="shared" si="6"/>
        <v>0.25766394029047085</v>
      </c>
      <c r="U10" s="59">
        <f t="shared" si="7"/>
        <v>0.1219547237638945</v>
      </c>
      <c r="V10" s="59">
        <f t="shared" si="8"/>
        <v>0.49525591903375432</v>
      </c>
      <c r="W10" s="59">
        <f t="shared" si="9"/>
        <v>9.8409591071462854E-2</v>
      </c>
      <c r="X10" s="59">
        <f t="shared" si="10"/>
        <v>0.1407706024168334</v>
      </c>
      <c r="Y10" s="60">
        <f t="shared" si="11"/>
        <v>0.26809618573288435</v>
      </c>
      <c r="Z10" s="60">
        <f t="shared" si="24"/>
        <v>0.19607216115111728</v>
      </c>
      <c r="AB10" s="68"/>
      <c r="AC10" s="59">
        <f t="shared" si="25"/>
        <v>-0.88928624583643212</v>
      </c>
      <c r="AD10" s="59">
        <f t="shared" si="0"/>
        <v>-0.86166102818342649</v>
      </c>
      <c r="AE10" s="59">
        <f t="shared" si="0"/>
        <v>5.6718453590468405</v>
      </c>
      <c r="AF10" s="59">
        <f t="shared" si="0"/>
        <v>0.30768854714071869</v>
      </c>
      <c r="AG10" s="59">
        <f t="shared" si="0"/>
        <v>1.7175517247750811</v>
      </c>
      <c r="AH10" s="59">
        <f t="shared" si="0"/>
        <v>-9.5500262246069223E-2</v>
      </c>
      <c r="AI10" s="59">
        <f t="shared" si="0"/>
        <v>9.9021703425847374</v>
      </c>
      <c r="AJ10" s="59">
        <f t="shared" si="0"/>
        <v>-0.89756452085654648</v>
      </c>
      <c r="AK10" s="59">
        <f t="shared" si="0"/>
        <v>1.2391314795082242</v>
      </c>
      <c r="AL10" s="59">
        <f t="shared" si="0"/>
        <v>1.9663877542616888</v>
      </c>
      <c r="AM10" s="65">
        <f t="shared" si="12"/>
        <v>1.8060763150194816</v>
      </c>
      <c r="AO10" s="58"/>
      <c r="AP10" s="59">
        <f t="shared" si="13"/>
        <v>-0.89819424904499501</v>
      </c>
      <c r="AQ10" s="59">
        <f t="shared" si="14"/>
        <v>-0.87149189798739113</v>
      </c>
      <c r="AR10" s="59">
        <f t="shared" si="15"/>
        <v>5.2359522937160854</v>
      </c>
      <c r="AS10" s="59">
        <f t="shared" si="16"/>
        <v>0.22799187448654212</v>
      </c>
      <c r="AT10" s="59">
        <f t="shared" si="17"/>
        <v>1.5759389002442394</v>
      </c>
      <c r="AU10" s="59">
        <f t="shared" si="18"/>
        <v>-0.13736051684424089</v>
      </c>
      <c r="AV10" s="59">
        <f t="shared" si="19"/>
        <v>9.4346959634233709</v>
      </c>
      <c r="AW10" s="59">
        <f t="shared" si="20"/>
        <v>-0.90307930821889149</v>
      </c>
      <c r="AX10" s="59">
        <f t="shared" si="21"/>
        <v>1.0796242960046665</v>
      </c>
      <c r="AY10" s="59">
        <f t="shared" si="22"/>
        <v>1.9082232884918517</v>
      </c>
      <c r="AZ10" s="65">
        <f t="shared" si="23"/>
        <v>1.6652300644271236</v>
      </c>
    </row>
    <row r="11" spans="1:52" ht="38.25">
      <c r="A11" s="515" t="s">
        <v>6</v>
      </c>
      <c r="B11" s="495"/>
      <c r="C11" s="496"/>
      <c r="D11" s="496"/>
      <c r="E11" s="496"/>
      <c r="F11" s="496"/>
      <c r="G11" s="496">
        <v>2041</v>
      </c>
      <c r="H11" s="496">
        <v>26737</v>
      </c>
      <c r="I11" s="496">
        <v>52224</v>
      </c>
      <c r="J11" s="496">
        <v>54442</v>
      </c>
      <c r="K11" s="496">
        <v>24316</v>
      </c>
      <c r="L11" s="497">
        <v>338303</v>
      </c>
      <c r="M11" s="463"/>
      <c r="O11" s="58">
        <f t="shared" si="1"/>
        <v>0</v>
      </c>
      <c r="P11" s="59">
        <f t="shared" si="2"/>
        <v>0</v>
      </c>
      <c r="Q11" s="59">
        <f t="shared" si="3"/>
        <v>0</v>
      </c>
      <c r="R11" s="59">
        <f t="shared" si="4"/>
        <v>0</v>
      </c>
      <c r="S11" s="59">
        <f t="shared" si="5"/>
        <v>0</v>
      </c>
      <c r="T11" s="59">
        <f t="shared" si="6"/>
        <v>8.3155343144332907E-5</v>
      </c>
      <c r="U11" s="59">
        <f t="shared" si="7"/>
        <v>5.7002823640636051E-4</v>
      </c>
      <c r="V11" s="59">
        <f t="shared" si="8"/>
        <v>4.1473616751364073E-4</v>
      </c>
      <c r="W11" s="59">
        <f t="shared" si="9"/>
        <v>8.386740354301191E-4</v>
      </c>
      <c r="X11" s="59">
        <f t="shared" si="10"/>
        <v>2.3930193354604202E-4</v>
      </c>
      <c r="Y11" s="60">
        <f t="shared" si="11"/>
        <v>2.1375223699399465E-3</v>
      </c>
      <c r="Z11" s="60">
        <f t="shared" si="24"/>
        <v>3.894016441800402E-4</v>
      </c>
      <c r="AB11" s="68"/>
      <c r="AC11" s="59" t="str">
        <f t="shared" si="25"/>
        <v/>
      </c>
      <c r="AD11" s="59" t="str">
        <f t="shared" si="0"/>
        <v/>
      </c>
      <c r="AE11" s="59" t="str">
        <f t="shared" si="0"/>
        <v/>
      </c>
      <c r="AF11" s="59" t="str">
        <f t="shared" si="0"/>
        <v/>
      </c>
      <c r="AG11" s="59" t="str">
        <f t="shared" si="0"/>
        <v/>
      </c>
      <c r="AH11" s="59">
        <f t="shared" si="0"/>
        <v>12.099951004409602</v>
      </c>
      <c r="AI11" s="59">
        <f t="shared" si="0"/>
        <v>0.9532483075887348</v>
      </c>
      <c r="AJ11" s="59">
        <f t="shared" si="0"/>
        <v>4.2470894607843146E-2</v>
      </c>
      <c r="AK11" s="59">
        <f t="shared" si="0"/>
        <v>-0.55335953859152864</v>
      </c>
      <c r="AL11" s="59">
        <f t="shared" si="0"/>
        <v>12.912773482480672</v>
      </c>
      <c r="AM11" s="65">
        <f t="shared" si="12"/>
        <v>5.0910168300990648</v>
      </c>
      <c r="AO11" s="58"/>
      <c r="AP11" s="59">
        <f t="shared" si="13"/>
        <v>0</v>
      </c>
      <c r="AQ11" s="59">
        <f t="shared" si="14"/>
        <v>0</v>
      </c>
      <c r="AR11" s="59">
        <f t="shared" si="15"/>
        <v>0</v>
      </c>
      <c r="AS11" s="59">
        <f t="shared" si="16"/>
        <v>0</v>
      </c>
      <c r="AT11" s="59">
        <f t="shared" si="17"/>
        <v>0</v>
      </c>
      <c r="AU11" s="59">
        <f t="shared" si="18"/>
        <v>11.493685174383078</v>
      </c>
      <c r="AV11" s="59">
        <f t="shared" si="19"/>
        <v>0.86949493452214299</v>
      </c>
      <c r="AW11" s="59">
        <f t="shared" si="20"/>
        <v>-1.3652290086249241E-2</v>
      </c>
      <c r="AX11" s="59">
        <f t="shared" si="21"/>
        <v>-0.58517650096733409</v>
      </c>
      <c r="AY11" s="59">
        <f t="shared" si="22"/>
        <v>12.63997400243203</v>
      </c>
      <c r="AZ11" s="65">
        <f t="shared" si="23"/>
        <v>2.4404325320283666</v>
      </c>
    </row>
    <row r="12" spans="1:52" ht="51">
      <c r="A12" s="515" t="s">
        <v>87</v>
      </c>
      <c r="B12" s="495"/>
      <c r="C12" s="496"/>
      <c r="D12" s="496"/>
      <c r="E12" s="496"/>
      <c r="F12" s="496"/>
      <c r="G12" s="496"/>
      <c r="H12" s="496"/>
      <c r="I12" s="496"/>
      <c r="J12" s="496">
        <v>22394</v>
      </c>
      <c r="K12" s="496">
        <v>19067</v>
      </c>
      <c r="L12" s="497">
        <v>18857</v>
      </c>
      <c r="M12" s="463"/>
      <c r="O12" s="58">
        <f t="shared" si="1"/>
        <v>0</v>
      </c>
      <c r="P12" s="59">
        <f t="shared" si="2"/>
        <v>0</v>
      </c>
      <c r="Q12" s="59">
        <f t="shared" si="3"/>
        <v>0</v>
      </c>
      <c r="R12" s="59">
        <f t="shared" si="4"/>
        <v>0</v>
      </c>
      <c r="S12" s="59">
        <f t="shared" si="5"/>
        <v>0</v>
      </c>
      <c r="T12" s="59">
        <f t="shared" si="6"/>
        <v>0</v>
      </c>
      <c r="U12" s="59">
        <f t="shared" si="7"/>
        <v>0</v>
      </c>
      <c r="V12" s="59">
        <f t="shared" si="8"/>
        <v>0</v>
      </c>
      <c r="W12" s="59">
        <f t="shared" si="9"/>
        <v>3.4497752377616702E-4</v>
      </c>
      <c r="X12" s="59">
        <f t="shared" si="10"/>
        <v>1.876447592910998E-4</v>
      </c>
      <c r="Y12" s="60">
        <f t="shared" si="11"/>
        <v>1.1914543864511272E-4</v>
      </c>
      <c r="Z12" s="60">
        <f t="shared" si="24"/>
        <v>5.9251611064761778E-5</v>
      </c>
      <c r="AB12" s="68"/>
      <c r="AC12" s="59" t="str">
        <f t="shared" si="25"/>
        <v/>
      </c>
      <c r="AD12" s="59" t="str">
        <f t="shared" si="0"/>
        <v/>
      </c>
      <c r="AE12" s="59" t="str">
        <f t="shared" si="0"/>
        <v/>
      </c>
      <c r="AF12" s="59" t="str">
        <f t="shared" si="0"/>
        <v/>
      </c>
      <c r="AG12" s="59" t="str">
        <f t="shared" si="0"/>
        <v/>
      </c>
      <c r="AH12" s="59" t="str">
        <f t="shared" si="0"/>
        <v/>
      </c>
      <c r="AI12" s="59" t="str">
        <f t="shared" si="0"/>
        <v/>
      </c>
      <c r="AJ12" s="59" t="str">
        <f t="shared" si="0"/>
        <v/>
      </c>
      <c r="AK12" s="59">
        <f t="shared" si="0"/>
        <v>-0.14856658033401804</v>
      </c>
      <c r="AL12" s="59">
        <f t="shared" si="0"/>
        <v>-1.1013793465149191E-2</v>
      </c>
      <c r="AM12" s="65">
        <f t="shared" si="12"/>
        <v>-7.9790186899583615E-2</v>
      </c>
      <c r="AO12" s="58"/>
      <c r="AP12" s="59">
        <f t="shared" si="13"/>
        <v>0</v>
      </c>
      <c r="AQ12" s="59">
        <f t="shared" si="14"/>
        <v>0</v>
      </c>
      <c r="AR12" s="59">
        <f t="shared" si="15"/>
        <v>0</v>
      </c>
      <c r="AS12" s="59">
        <f t="shared" si="16"/>
        <v>0</v>
      </c>
      <c r="AT12" s="59">
        <f t="shared" si="17"/>
        <v>0</v>
      </c>
      <c r="AU12" s="59">
        <f t="shared" si="18"/>
        <v>0</v>
      </c>
      <c r="AV12" s="59">
        <f t="shared" si="19"/>
        <v>0</v>
      </c>
      <c r="AW12" s="59">
        <f t="shared" si="20"/>
        <v>0</v>
      </c>
      <c r="AX12" s="59">
        <f t="shared" si="21"/>
        <v>-0.20921944862451758</v>
      </c>
      <c r="AY12" s="59">
        <f t="shared" si="22"/>
        <v>-3.04056798677933E-2</v>
      </c>
      <c r="AZ12" s="65">
        <f t="shared" si="23"/>
        <v>-2.3962512849231087E-2</v>
      </c>
    </row>
    <row r="13" spans="1:52" ht="51">
      <c r="A13" s="515" t="s">
        <v>7</v>
      </c>
      <c r="B13" s="495">
        <v>3148806</v>
      </c>
      <c r="C13" s="496">
        <v>3609177</v>
      </c>
      <c r="D13" s="496">
        <v>3629055</v>
      </c>
      <c r="E13" s="496">
        <v>4852721</v>
      </c>
      <c r="F13" s="496">
        <v>4907846</v>
      </c>
      <c r="G13" s="496">
        <v>4759357</v>
      </c>
      <c r="H13" s="496">
        <v>4872334</v>
      </c>
      <c r="I13" s="496">
        <v>733694</v>
      </c>
      <c r="J13" s="496">
        <v>678075</v>
      </c>
      <c r="K13" s="496">
        <v>1835460</v>
      </c>
      <c r="L13" s="497">
        <v>2945378</v>
      </c>
      <c r="M13" s="463"/>
      <c r="O13" s="58">
        <f t="shared" si="1"/>
        <v>7.8730152665896197E-2</v>
      </c>
      <c r="P13" s="59">
        <f t="shared" si="2"/>
        <v>0.17765466001893118</v>
      </c>
      <c r="Q13" s="59">
        <f t="shared" si="3"/>
        <v>0.36155728902495482</v>
      </c>
      <c r="R13" s="59">
        <f t="shared" si="4"/>
        <v>0.3113320207835214</v>
      </c>
      <c r="S13" s="59">
        <f t="shared" si="5"/>
        <v>0.21837692354481009</v>
      </c>
      <c r="T13" s="59">
        <f t="shared" si="6"/>
        <v>0.1939078708874977</v>
      </c>
      <c r="U13" s="59">
        <f t="shared" si="7"/>
        <v>0.10387732195843767</v>
      </c>
      <c r="V13" s="59">
        <f t="shared" si="8"/>
        <v>5.8266206665087529E-3</v>
      </c>
      <c r="W13" s="59">
        <f t="shared" si="9"/>
        <v>1.0445683416742185E-2</v>
      </c>
      <c r="X13" s="59">
        <f t="shared" si="10"/>
        <v>1.8063379130877539E-2</v>
      </c>
      <c r="Y13" s="60">
        <f t="shared" si="11"/>
        <v>1.8609977927860465E-2</v>
      </c>
      <c r="Z13" s="60">
        <f t="shared" si="24"/>
        <v>0.13621653636600345</v>
      </c>
      <c r="AB13" s="68"/>
      <c r="AC13" s="59">
        <f t="shared" si="25"/>
        <v>0.14620494244485061</v>
      </c>
      <c r="AD13" s="59">
        <f t="shared" si="0"/>
        <v>5.507626807995214E-3</v>
      </c>
      <c r="AE13" s="59">
        <f t="shared" si="0"/>
        <v>0.33718585141310897</v>
      </c>
      <c r="AF13" s="59">
        <f t="shared" si="0"/>
        <v>1.135960629098598E-2</v>
      </c>
      <c r="AG13" s="59">
        <f t="shared" si="0"/>
        <v>-3.0255431812652667E-2</v>
      </c>
      <c r="AH13" s="59">
        <f t="shared" si="0"/>
        <v>2.373787047283904E-2</v>
      </c>
      <c r="AI13" s="59">
        <f t="shared" si="0"/>
        <v>-0.84941631669750062</v>
      </c>
      <c r="AJ13" s="59">
        <f t="shared" si="0"/>
        <v>-7.5806807742737403E-2</v>
      </c>
      <c r="AK13" s="59">
        <f t="shared" si="0"/>
        <v>1.7068687092135826</v>
      </c>
      <c r="AL13" s="59">
        <f t="shared" si="0"/>
        <v>0.6047083564882918</v>
      </c>
      <c r="AM13" s="65">
        <f t="shared" si="12"/>
        <v>0.18800944068787634</v>
      </c>
      <c r="AO13" s="58"/>
      <c r="AP13" s="59">
        <f t="shared" si="13"/>
        <v>5.3981556271126996E-2</v>
      </c>
      <c r="AQ13" s="59">
        <f t="shared" si="14"/>
        <v>-6.5947397298657506E-2</v>
      </c>
      <c r="AR13" s="59">
        <f t="shared" si="15"/>
        <v>0.24982320909721367</v>
      </c>
      <c r="AS13" s="59">
        <f t="shared" si="16"/>
        <v>-5.0277391031095853E-2</v>
      </c>
      <c r="AT13" s="59">
        <f t="shared" si="17"/>
        <v>-8.0789250956727066E-2</v>
      </c>
      <c r="AU13" s="59">
        <f t="shared" si="18"/>
        <v>-2.3640725795412765E-2</v>
      </c>
      <c r="AV13" s="59">
        <f t="shared" si="19"/>
        <v>-0.85587319745166601</v>
      </c>
      <c r="AW13" s="59">
        <f t="shared" si="20"/>
        <v>-0.12556231217971181</v>
      </c>
      <c r="AX13" s="59">
        <f t="shared" si="21"/>
        <v>1.5140417100525521</v>
      </c>
      <c r="AY13" s="59">
        <f t="shared" si="22"/>
        <v>0.57324348675322723</v>
      </c>
      <c r="AZ13" s="65">
        <f t="shared" si="23"/>
        <v>0.11889996874608491</v>
      </c>
    </row>
    <row r="14" spans="1:52" ht="25.5">
      <c r="A14" s="515" t="s">
        <v>8</v>
      </c>
      <c r="B14" s="495">
        <v>2090227</v>
      </c>
      <c r="C14" s="496">
        <v>1789187</v>
      </c>
      <c r="D14" s="496">
        <v>79103</v>
      </c>
      <c r="E14" s="496">
        <v>84171</v>
      </c>
      <c r="F14" s="496">
        <v>172800</v>
      </c>
      <c r="G14" s="496">
        <v>134953</v>
      </c>
      <c r="H14" s="496">
        <v>1072548</v>
      </c>
      <c r="I14" s="496">
        <v>1348549</v>
      </c>
      <c r="J14" s="496">
        <v>630139</v>
      </c>
      <c r="K14" s="496">
        <v>3619847</v>
      </c>
      <c r="L14" s="497">
        <v>3480762</v>
      </c>
      <c r="M14" s="463"/>
      <c r="O14" s="58">
        <f t="shared" si="1"/>
        <v>5.2262314927111489E-2</v>
      </c>
      <c r="P14" s="59">
        <f t="shared" si="2"/>
        <v>8.8069221375203108E-2</v>
      </c>
      <c r="Q14" s="59">
        <f t="shared" si="3"/>
        <v>7.8809128640213513E-3</v>
      </c>
      <c r="R14" s="59">
        <f t="shared" si="4"/>
        <v>5.4000894593713052E-3</v>
      </c>
      <c r="S14" s="59">
        <f t="shared" si="5"/>
        <v>7.6888175359502275E-3</v>
      </c>
      <c r="T14" s="59">
        <f t="shared" si="6"/>
        <v>5.4983160330020374E-3</v>
      </c>
      <c r="U14" s="59">
        <f t="shared" si="7"/>
        <v>2.2866538688004232E-2</v>
      </c>
      <c r="V14" s="59">
        <f t="shared" si="8"/>
        <v>1.0709483072234082E-2</v>
      </c>
      <c r="W14" s="59">
        <f t="shared" si="9"/>
        <v>9.707233716834426E-3</v>
      </c>
      <c r="X14" s="59">
        <f t="shared" si="10"/>
        <v>3.5624131692747141E-2</v>
      </c>
      <c r="Y14" s="60">
        <f t="shared" si="11"/>
        <v>2.1992730302234705E-2</v>
      </c>
      <c r="Z14" s="60">
        <f t="shared" si="24"/>
        <v>2.4336344515155827E-2</v>
      </c>
      <c r="AB14" s="68"/>
      <c r="AC14" s="59">
        <f t="shared" si="25"/>
        <v>-0.1440226348621465</v>
      </c>
      <c r="AD14" s="59">
        <f t="shared" si="0"/>
        <v>-0.95578829937843279</v>
      </c>
      <c r="AE14" s="59">
        <f t="shared" si="0"/>
        <v>6.4068366560054546E-2</v>
      </c>
      <c r="AF14" s="59">
        <f t="shared" si="0"/>
        <v>1.0529636097943471</v>
      </c>
      <c r="AG14" s="59">
        <f t="shared" si="0"/>
        <v>-0.21902199074074069</v>
      </c>
      <c r="AH14" s="59">
        <f t="shared" si="0"/>
        <v>6.9475669307092103</v>
      </c>
      <c r="AI14" s="59">
        <f t="shared" si="0"/>
        <v>0.25733207278368897</v>
      </c>
      <c r="AJ14" s="59">
        <f t="shared" si="0"/>
        <v>-0.53272813965232269</v>
      </c>
      <c r="AK14" s="59">
        <f t="shared" si="0"/>
        <v>4.7445214468553765</v>
      </c>
      <c r="AL14" s="59">
        <f t="shared" si="0"/>
        <v>-3.8422894669305041E-2</v>
      </c>
      <c r="AM14" s="65">
        <f t="shared" si="12"/>
        <v>1.1176468467399729</v>
      </c>
      <c r="AO14" s="58"/>
      <c r="AP14" s="59">
        <f t="shared" si="13"/>
        <v>-0.21289437688473234</v>
      </c>
      <c r="AQ14" s="59">
        <f t="shared" si="14"/>
        <v>-0.95893014340774063</v>
      </c>
      <c r="AR14" s="59">
        <f t="shared" si="15"/>
        <v>-5.4506341152870119E-3</v>
      </c>
      <c r="AS14" s="59">
        <f t="shared" si="16"/>
        <v>0.92784637974865913</v>
      </c>
      <c r="AT14" s="59">
        <f t="shared" si="17"/>
        <v>-0.25971910085621819</v>
      </c>
      <c r="AU14" s="59">
        <f t="shared" si="18"/>
        <v>6.5797534739782755</v>
      </c>
      <c r="AV14" s="59">
        <f t="shared" si="19"/>
        <v>0.20341890580368394</v>
      </c>
      <c r="AW14" s="59">
        <f t="shared" si="20"/>
        <v>-0.55788451097769198</v>
      </c>
      <c r="AX14" s="59">
        <f t="shared" si="21"/>
        <v>4.3353036564088203</v>
      </c>
      <c r="AY14" s="59">
        <f t="shared" si="22"/>
        <v>-5.7277347715004923E-2</v>
      </c>
      <c r="AZ14" s="65">
        <f t="shared" si="23"/>
        <v>0.99941663019827642</v>
      </c>
    </row>
    <row r="15" spans="1:52">
      <c r="A15" s="515" t="s">
        <v>9</v>
      </c>
      <c r="B15" s="495">
        <v>40</v>
      </c>
      <c r="C15" s="496">
        <v>40</v>
      </c>
      <c r="D15" s="496">
        <v>40</v>
      </c>
      <c r="E15" s="496">
        <v>750</v>
      </c>
      <c r="F15" s="496">
        <v>40</v>
      </c>
      <c r="G15" s="496">
        <v>40</v>
      </c>
      <c r="H15" s="496">
        <v>40</v>
      </c>
      <c r="I15" s="496">
        <v>72450</v>
      </c>
      <c r="J15" s="496">
        <v>139181</v>
      </c>
      <c r="K15" s="496">
        <v>237680</v>
      </c>
      <c r="L15" s="497">
        <v>72724</v>
      </c>
      <c r="M15" s="463"/>
      <c r="O15" s="58">
        <f t="shared" si="1"/>
        <v>1.0001270661437537E-6</v>
      </c>
      <c r="P15" s="59">
        <f t="shared" si="2"/>
        <v>1.9689215576729118E-6</v>
      </c>
      <c r="Q15" s="59">
        <f t="shared" si="3"/>
        <v>3.9851398121544575E-6</v>
      </c>
      <c r="R15" s="59">
        <f t="shared" si="4"/>
        <v>4.811713172622969E-5</v>
      </c>
      <c r="S15" s="59">
        <f t="shared" si="5"/>
        <v>1.7798188740625527E-6</v>
      </c>
      <c r="T15" s="59">
        <f t="shared" si="6"/>
        <v>1.6296980528041726E-6</v>
      </c>
      <c r="U15" s="59">
        <f t="shared" si="7"/>
        <v>8.5279311277459777E-7</v>
      </c>
      <c r="V15" s="59">
        <f t="shared" si="8"/>
        <v>5.7536066437582857E-4</v>
      </c>
      <c r="W15" s="59">
        <f t="shared" si="9"/>
        <v>2.1440705875096322E-3</v>
      </c>
      <c r="X15" s="59">
        <f t="shared" si="10"/>
        <v>2.3390888125194632E-3</v>
      </c>
      <c r="Y15" s="60">
        <f t="shared" si="11"/>
        <v>4.5949689134152716E-4</v>
      </c>
      <c r="Z15" s="60">
        <f t="shared" si="24"/>
        <v>5.0703187144984481E-4</v>
      </c>
      <c r="AB15" s="68"/>
      <c r="AC15" s="59">
        <f t="shared" si="25"/>
        <v>0</v>
      </c>
      <c r="AD15" s="59">
        <f t="shared" si="0"/>
        <v>0</v>
      </c>
      <c r="AE15" s="59">
        <f t="shared" si="0"/>
        <v>17.75</v>
      </c>
      <c r="AF15" s="59">
        <f t="shared" si="0"/>
        <v>-0.94666666666666666</v>
      </c>
      <c r="AG15" s="59">
        <f t="shared" si="0"/>
        <v>0</v>
      </c>
      <c r="AH15" s="59">
        <f t="shared" si="0"/>
        <v>0</v>
      </c>
      <c r="AI15" s="59">
        <f t="shared" si="0"/>
        <v>1810.25</v>
      </c>
      <c r="AJ15" s="59">
        <f t="shared" si="0"/>
        <v>0.92106280193236723</v>
      </c>
      <c r="AK15" s="59">
        <f t="shared" si="0"/>
        <v>0.70770435619804428</v>
      </c>
      <c r="AL15" s="59">
        <f t="shared" si="0"/>
        <v>-0.69402558061258834</v>
      </c>
      <c r="AM15" s="65">
        <f t="shared" si="12"/>
        <v>182.79880749108511</v>
      </c>
      <c r="AO15" s="58"/>
      <c r="AP15" s="59">
        <f t="shared" si="13"/>
        <v>-8.045977011494243E-2</v>
      </c>
      <c r="AQ15" s="59">
        <f t="shared" si="14"/>
        <v>-7.1063632141198374E-2</v>
      </c>
      <c r="AR15" s="59">
        <f t="shared" si="15"/>
        <v>16.525002336666976</v>
      </c>
      <c r="AS15" s="59">
        <f t="shared" si="16"/>
        <v>-0.94991705011425176</v>
      </c>
      <c r="AT15" s="59">
        <f t="shared" si="17"/>
        <v>-5.2110443102076465E-2</v>
      </c>
      <c r="AU15" s="59">
        <f t="shared" si="18"/>
        <v>-4.6280007446016236E-2</v>
      </c>
      <c r="AV15" s="59">
        <f t="shared" si="19"/>
        <v>1732.5853751914242</v>
      </c>
      <c r="AW15" s="59">
        <f t="shared" si="20"/>
        <v>0.81763913514274522</v>
      </c>
      <c r="AX15" s="59">
        <f t="shared" si="21"/>
        <v>0.58605401337238261</v>
      </c>
      <c r="AY15" s="59">
        <f t="shared" si="22"/>
        <v>-0.70002507903194933</v>
      </c>
      <c r="AZ15" s="65">
        <f t="shared" si="23"/>
        <v>174.8614214694656</v>
      </c>
    </row>
    <row r="16" spans="1:52" ht="38.25">
      <c r="A16" s="515" t="s">
        <v>91</v>
      </c>
      <c r="B16" s="495"/>
      <c r="C16" s="496"/>
      <c r="D16" s="496"/>
      <c r="E16" s="496"/>
      <c r="F16" s="496"/>
      <c r="G16" s="496"/>
      <c r="H16" s="496">
        <v>598045</v>
      </c>
      <c r="I16" s="496">
        <v>2172086</v>
      </c>
      <c r="J16" s="496">
        <v>1641211</v>
      </c>
      <c r="K16" s="496">
        <v>1641211</v>
      </c>
      <c r="L16" s="497">
        <v>1641211</v>
      </c>
      <c r="M16" s="463"/>
      <c r="O16" s="58">
        <f t="shared" si="1"/>
        <v>0</v>
      </c>
      <c r="P16" s="59">
        <f t="shared" si="2"/>
        <v>0</v>
      </c>
      <c r="Q16" s="59">
        <f t="shared" si="3"/>
        <v>0</v>
      </c>
      <c r="R16" s="59">
        <f t="shared" si="4"/>
        <v>0</v>
      </c>
      <c r="S16" s="59">
        <f t="shared" si="5"/>
        <v>0</v>
      </c>
      <c r="T16" s="59">
        <f t="shared" si="6"/>
        <v>0</v>
      </c>
      <c r="U16" s="59">
        <f t="shared" si="7"/>
        <v>1.2750216428232108E-2</v>
      </c>
      <c r="V16" s="59">
        <f t="shared" si="8"/>
        <v>1.7249590669999114E-2</v>
      </c>
      <c r="W16" s="59">
        <f t="shared" si="9"/>
        <v>2.5282705491390858E-2</v>
      </c>
      <c r="X16" s="59">
        <f t="shared" si="10"/>
        <v>1.6151709395337766E-2</v>
      </c>
      <c r="Y16" s="60">
        <f t="shared" si="11"/>
        <v>1.0369772737136559E-2</v>
      </c>
      <c r="Z16" s="60">
        <f t="shared" si="24"/>
        <v>7.4367267929178549E-3</v>
      </c>
      <c r="AB16" s="68"/>
      <c r="AC16" s="59" t="str">
        <f t="shared" si="25"/>
        <v/>
      </c>
      <c r="AD16" s="59" t="str">
        <f t="shared" si="0"/>
        <v/>
      </c>
      <c r="AE16" s="59" t="str">
        <f t="shared" si="0"/>
        <v/>
      </c>
      <c r="AF16" s="59" t="str">
        <f t="shared" si="0"/>
        <v/>
      </c>
      <c r="AG16" s="59" t="str">
        <f t="shared" si="0"/>
        <v/>
      </c>
      <c r="AH16" s="59" t="str">
        <f t="shared" si="0"/>
        <v/>
      </c>
      <c r="AI16" s="59">
        <f t="shared" si="0"/>
        <v>2.6319775267747412</v>
      </c>
      <c r="AJ16" s="59">
        <f t="shared" si="0"/>
        <v>-0.24440791018403507</v>
      </c>
      <c r="AK16" s="59">
        <f t="shared" si="0"/>
        <v>0</v>
      </c>
      <c r="AL16" s="59">
        <f t="shared" si="0"/>
        <v>0</v>
      </c>
      <c r="AM16" s="65">
        <f t="shared" si="12"/>
        <v>0.59689240414767653</v>
      </c>
      <c r="AO16" s="58"/>
      <c r="AP16" s="59">
        <f t="shared" si="13"/>
        <v>0</v>
      </c>
      <c r="AQ16" s="59">
        <f t="shared" si="14"/>
        <v>0</v>
      </c>
      <c r="AR16" s="59">
        <f t="shared" si="15"/>
        <v>0</v>
      </c>
      <c r="AS16" s="59">
        <f t="shared" si="16"/>
        <v>0</v>
      </c>
      <c r="AT16" s="59">
        <f t="shared" si="17"/>
        <v>0</v>
      </c>
      <c r="AU16" s="59">
        <f t="shared" si="18"/>
        <v>0</v>
      </c>
      <c r="AV16" s="59">
        <f t="shared" si="19"/>
        <v>2.4762418900983358</v>
      </c>
      <c r="AW16" s="59">
        <f t="shared" si="20"/>
        <v>-0.28508648896209199</v>
      </c>
      <c r="AX16" s="59">
        <f t="shared" si="21"/>
        <v>-7.1236184638246436E-2</v>
      </c>
      <c r="AY16" s="59">
        <f t="shared" si="22"/>
        <v>-1.9607843137254943E-2</v>
      </c>
      <c r="AZ16" s="65">
        <f t="shared" si="23"/>
        <v>0.21003113733607429</v>
      </c>
    </row>
    <row r="17" spans="1:52" ht="25.5">
      <c r="A17" s="515" t="s">
        <v>92</v>
      </c>
      <c r="B17" s="495"/>
      <c r="C17" s="496">
        <v>219</v>
      </c>
      <c r="D17" s="496"/>
      <c r="E17" s="496"/>
      <c r="F17" s="496"/>
      <c r="G17" s="496"/>
      <c r="H17" s="496">
        <v>680</v>
      </c>
      <c r="I17" s="496">
        <v>181124</v>
      </c>
      <c r="J17" s="496">
        <v>216523</v>
      </c>
      <c r="K17" s="496">
        <v>325877</v>
      </c>
      <c r="L17" s="497">
        <v>412897</v>
      </c>
      <c r="M17" s="463"/>
      <c r="O17" s="58">
        <f t="shared" si="1"/>
        <v>0</v>
      </c>
      <c r="P17" s="59">
        <f t="shared" si="2"/>
        <v>1.0779845528259193E-5</v>
      </c>
      <c r="Q17" s="59">
        <f t="shared" si="3"/>
        <v>0</v>
      </c>
      <c r="R17" s="59">
        <f t="shared" si="4"/>
        <v>0</v>
      </c>
      <c r="S17" s="59">
        <f t="shared" si="5"/>
        <v>0</v>
      </c>
      <c r="T17" s="59">
        <f t="shared" si="6"/>
        <v>0</v>
      </c>
      <c r="U17" s="59">
        <f t="shared" si="7"/>
        <v>1.4497482917168162E-5</v>
      </c>
      <c r="V17" s="59">
        <f t="shared" si="8"/>
        <v>1.4383937194535207E-3</v>
      </c>
      <c r="W17" s="59">
        <f t="shared" si="9"/>
        <v>3.3355170304807994E-3</v>
      </c>
      <c r="X17" s="59">
        <f t="shared" si="10"/>
        <v>3.2070651504434748E-3</v>
      </c>
      <c r="Y17" s="60">
        <f t="shared" si="11"/>
        <v>2.6088346067906403E-3</v>
      </c>
      <c r="Z17" s="60">
        <f t="shared" si="24"/>
        <v>9.6500798505580563E-4</v>
      </c>
      <c r="AB17" s="68"/>
      <c r="AC17" s="59" t="str">
        <f t="shared" si="25"/>
        <v/>
      </c>
      <c r="AD17" s="59">
        <f t="shared" si="0"/>
        <v>-1</v>
      </c>
      <c r="AE17" s="59" t="str">
        <f t="shared" si="0"/>
        <v/>
      </c>
      <c r="AF17" s="59" t="str">
        <f t="shared" si="0"/>
        <v/>
      </c>
      <c r="AG17" s="59" t="str">
        <f t="shared" si="0"/>
        <v/>
      </c>
      <c r="AH17" s="59" t="str">
        <f t="shared" si="0"/>
        <v/>
      </c>
      <c r="AI17" s="59">
        <f t="shared" si="0"/>
        <v>265.35882352941178</v>
      </c>
      <c r="AJ17" s="59">
        <f t="shared" si="0"/>
        <v>0.19544069256421026</v>
      </c>
      <c r="AK17" s="59">
        <f t="shared" si="0"/>
        <v>0.50504565334860496</v>
      </c>
      <c r="AL17" s="59">
        <f t="shared" si="0"/>
        <v>0.26703326715294429</v>
      </c>
      <c r="AM17" s="65">
        <f t="shared" si="12"/>
        <v>53.065268628495502</v>
      </c>
      <c r="AO17" s="58"/>
      <c r="AP17" s="59">
        <f t="shared" si="13"/>
        <v>0</v>
      </c>
      <c r="AQ17" s="59">
        <f t="shared" si="14"/>
        <v>-1</v>
      </c>
      <c r="AR17" s="59">
        <f t="shared" si="15"/>
        <v>0</v>
      </c>
      <c r="AS17" s="59">
        <f t="shared" si="16"/>
        <v>0</v>
      </c>
      <c r="AT17" s="59">
        <f t="shared" si="17"/>
        <v>0</v>
      </c>
      <c r="AU17" s="59">
        <f t="shared" si="18"/>
        <v>0</v>
      </c>
      <c r="AV17" s="59">
        <f t="shared" si="19"/>
        <v>253.93761823259169</v>
      </c>
      <c r="AW17" s="59">
        <f t="shared" si="20"/>
        <v>0.13108211993964458</v>
      </c>
      <c r="AX17" s="59">
        <f t="shared" si="21"/>
        <v>0.39783194329767335</v>
      </c>
      <c r="AY17" s="59">
        <f t="shared" si="22"/>
        <v>0.24218947760092568</v>
      </c>
      <c r="AZ17" s="65">
        <f t="shared" si="23"/>
        <v>25.370872177342992</v>
      </c>
    </row>
    <row r="18" spans="1:52" ht="38.25">
      <c r="A18" s="515" t="s">
        <v>93</v>
      </c>
      <c r="B18" s="495"/>
      <c r="C18" s="496"/>
      <c r="D18" s="496"/>
      <c r="E18" s="496"/>
      <c r="F18" s="496"/>
      <c r="G18" s="496"/>
      <c r="H18" s="496"/>
      <c r="I18" s="496"/>
      <c r="J18" s="496"/>
      <c r="K18" s="496">
        <v>668</v>
      </c>
      <c r="L18" s="497"/>
      <c r="M18" s="463"/>
      <c r="O18" s="58">
        <f t="shared" si="1"/>
        <v>0</v>
      </c>
      <c r="P18" s="59">
        <f t="shared" si="2"/>
        <v>0</v>
      </c>
      <c r="Q18" s="59">
        <f t="shared" si="3"/>
        <v>0</v>
      </c>
      <c r="R18" s="59">
        <f t="shared" si="4"/>
        <v>0</v>
      </c>
      <c r="S18" s="59">
        <f t="shared" si="5"/>
        <v>0</v>
      </c>
      <c r="T18" s="59">
        <f t="shared" si="6"/>
        <v>0</v>
      </c>
      <c r="U18" s="59">
        <f t="shared" si="7"/>
        <v>0</v>
      </c>
      <c r="V18" s="59">
        <f t="shared" si="8"/>
        <v>0</v>
      </c>
      <c r="W18" s="59">
        <f t="shared" si="9"/>
        <v>0</v>
      </c>
      <c r="X18" s="59">
        <f t="shared" si="10"/>
        <v>6.5740126504670201E-6</v>
      </c>
      <c r="Y18" s="60">
        <f t="shared" si="11"/>
        <v>0</v>
      </c>
      <c r="Z18" s="60">
        <f t="shared" si="24"/>
        <v>5.9763751367881996E-7</v>
      </c>
      <c r="AB18" s="68"/>
      <c r="AC18" s="59" t="str">
        <f t="shared" si="25"/>
        <v/>
      </c>
      <c r="AD18" s="59" t="str">
        <f t="shared" si="0"/>
        <v/>
      </c>
      <c r="AE18" s="59" t="str">
        <f t="shared" si="0"/>
        <v/>
      </c>
      <c r="AF18" s="59" t="str">
        <f t="shared" si="0"/>
        <v/>
      </c>
      <c r="AG18" s="59" t="str">
        <f t="shared" si="0"/>
        <v/>
      </c>
      <c r="AH18" s="59" t="str">
        <f t="shared" si="0"/>
        <v/>
      </c>
      <c r="AI18" s="59" t="str">
        <f t="shared" si="0"/>
        <v/>
      </c>
      <c r="AJ18" s="59" t="str">
        <f t="shared" si="0"/>
        <v/>
      </c>
      <c r="AK18" s="59" t="str">
        <f t="shared" si="0"/>
        <v/>
      </c>
      <c r="AL18" s="59">
        <f t="shared" si="0"/>
        <v>-1</v>
      </c>
      <c r="AM18" s="65">
        <f t="shared" si="12"/>
        <v>-1</v>
      </c>
      <c r="AO18" s="58"/>
      <c r="AP18" s="59">
        <f t="shared" si="13"/>
        <v>0</v>
      </c>
      <c r="AQ18" s="59">
        <f t="shared" si="14"/>
        <v>0</v>
      </c>
      <c r="AR18" s="59">
        <f t="shared" si="15"/>
        <v>0</v>
      </c>
      <c r="AS18" s="59">
        <f t="shared" si="16"/>
        <v>0</v>
      </c>
      <c r="AT18" s="59">
        <f t="shared" si="17"/>
        <v>0</v>
      </c>
      <c r="AU18" s="59">
        <f t="shared" si="18"/>
        <v>0</v>
      </c>
      <c r="AV18" s="59">
        <f t="shared" si="19"/>
        <v>0</v>
      </c>
      <c r="AW18" s="59">
        <f t="shared" si="20"/>
        <v>0</v>
      </c>
      <c r="AX18" s="59">
        <f t="shared" si="21"/>
        <v>0</v>
      </c>
      <c r="AY18" s="59">
        <f t="shared" si="22"/>
        <v>-1</v>
      </c>
      <c r="AZ18" s="65">
        <f t="shared" si="23"/>
        <v>-0.1</v>
      </c>
    </row>
    <row r="19" spans="1:52" ht="51">
      <c r="A19" s="515" t="s">
        <v>10</v>
      </c>
      <c r="B19" s="495">
        <v>375932</v>
      </c>
      <c r="C19" s="496">
        <v>254166</v>
      </c>
      <c r="D19" s="496">
        <v>293680</v>
      </c>
      <c r="E19" s="496">
        <v>256902</v>
      </c>
      <c r="F19" s="496">
        <v>334573</v>
      </c>
      <c r="G19" s="496">
        <v>511636</v>
      </c>
      <c r="H19" s="496">
        <v>657318</v>
      </c>
      <c r="I19" s="496">
        <v>1450292</v>
      </c>
      <c r="J19" s="496">
        <v>1304908</v>
      </c>
      <c r="K19" s="496">
        <v>2255527</v>
      </c>
      <c r="L19" s="497">
        <v>3903927</v>
      </c>
      <c r="M19" s="463"/>
      <c r="O19" s="58">
        <f t="shared" si="1"/>
        <v>9.3994942057388387E-3</v>
      </c>
      <c r="P19" s="59">
        <f t="shared" si="2"/>
        <v>1.2510822915687333E-2</v>
      </c>
      <c r="Q19" s="59">
        <f t="shared" si="3"/>
        <v>2.9258896500838027E-2</v>
      </c>
      <c r="R19" s="59">
        <f t="shared" si="4"/>
        <v>1.6481849832975813E-2</v>
      </c>
      <c r="S19" s="59">
        <f t="shared" si="5"/>
        <v>1.4886983503793262E-2</v>
      </c>
      <c r="T19" s="59">
        <f t="shared" si="6"/>
        <v>2.0845304823612892E-2</v>
      </c>
      <c r="U19" s="59">
        <f t="shared" si="7"/>
        <v>1.4013906582569327E-2</v>
      </c>
      <c r="V19" s="59">
        <f t="shared" si="8"/>
        <v>1.1517473687494121E-2</v>
      </c>
      <c r="W19" s="59">
        <f t="shared" si="9"/>
        <v>2.0101988505658239E-2</v>
      </c>
      <c r="X19" s="59">
        <f t="shared" si="10"/>
        <v>2.219739974770947E-2</v>
      </c>
      <c r="Y19" s="60">
        <f t="shared" si="11"/>
        <v>2.4666441897093862E-2</v>
      </c>
      <c r="Z19" s="60">
        <f t="shared" si="24"/>
        <v>1.7807323836651928E-2</v>
      </c>
      <c r="AB19" s="68"/>
      <c r="AC19" s="59">
        <f t="shared" si="25"/>
        <v>-0.3239043231222668</v>
      </c>
      <c r="AD19" s="59">
        <f t="shared" si="0"/>
        <v>0.15546532581069061</v>
      </c>
      <c r="AE19" s="59">
        <f t="shared" si="0"/>
        <v>-0.1252315445382729</v>
      </c>
      <c r="AF19" s="59">
        <f t="shared" si="0"/>
        <v>0.3023370779519039</v>
      </c>
      <c r="AG19" s="59">
        <f t="shared" si="0"/>
        <v>0.52922082774162882</v>
      </c>
      <c r="AH19" s="59">
        <f t="shared" si="0"/>
        <v>0.28473758687817119</v>
      </c>
      <c r="AI19" s="59">
        <f t="shared" si="0"/>
        <v>1.2063780392443233</v>
      </c>
      <c r="AJ19" s="59">
        <f t="shared" si="0"/>
        <v>-0.10024464038965941</v>
      </c>
      <c r="AK19" s="59">
        <f t="shared" si="0"/>
        <v>0.72849503566534968</v>
      </c>
      <c r="AL19" s="59">
        <f t="shared" si="0"/>
        <v>0.73082698633179732</v>
      </c>
      <c r="AM19" s="65">
        <f t="shared" si="12"/>
        <v>0.33880803715736657</v>
      </c>
      <c r="AO19" s="58"/>
      <c r="AP19" s="59">
        <f t="shared" si="13"/>
        <v>-0.37830282585955566</v>
      </c>
      <c r="AQ19" s="59">
        <f t="shared" si="14"/>
        <v>7.3353762945369771E-2</v>
      </c>
      <c r="AR19" s="59">
        <f t="shared" si="15"/>
        <v>-0.1823829746128357</v>
      </c>
      <c r="AS19" s="59">
        <f t="shared" si="16"/>
        <v>0.22296654892656953</v>
      </c>
      <c r="AT19" s="59">
        <f t="shared" si="17"/>
        <v>0.44953245280708853</v>
      </c>
      <c r="AU19" s="59">
        <f t="shared" si="18"/>
        <v>0.22527992179127243</v>
      </c>
      <c r="AV19" s="59">
        <f t="shared" si="19"/>
        <v>1.111770711374735</v>
      </c>
      <c r="AW19" s="59">
        <f t="shared" si="20"/>
        <v>-0.14868449275206674</v>
      </c>
      <c r="AX19" s="59">
        <f t="shared" si="21"/>
        <v>0.60536364415840049</v>
      </c>
      <c r="AY19" s="59">
        <f t="shared" si="22"/>
        <v>0.69688920228607576</v>
      </c>
      <c r="AZ19" s="65">
        <f t="shared" si="23"/>
        <v>0.26757859510650539</v>
      </c>
    </row>
    <row r="20" spans="1:52" ht="38.25">
      <c r="A20" s="515" t="s">
        <v>11</v>
      </c>
      <c r="B20" s="495">
        <v>5089</v>
      </c>
      <c r="C20" s="496">
        <v>16142</v>
      </c>
      <c r="D20" s="496">
        <v>6777</v>
      </c>
      <c r="E20" s="496">
        <v>2420</v>
      </c>
      <c r="F20" s="496">
        <v>8905</v>
      </c>
      <c r="G20" s="496"/>
      <c r="H20" s="496"/>
      <c r="I20" s="496">
        <v>11253</v>
      </c>
      <c r="J20" s="496">
        <v>197433</v>
      </c>
      <c r="K20" s="496">
        <v>19452</v>
      </c>
      <c r="L20" s="497">
        <v>29214</v>
      </c>
      <c r="M20" s="463"/>
      <c r="O20" s="58">
        <f t="shared" si="1"/>
        <v>1.2724116599013906E-4</v>
      </c>
      <c r="P20" s="59">
        <f t="shared" si="2"/>
        <v>7.9455829459890365E-4</v>
      </c>
      <c r="Q20" s="59">
        <f t="shared" si="3"/>
        <v>6.7518231267426894E-4</v>
      </c>
      <c r="R20" s="59">
        <f t="shared" si="4"/>
        <v>1.5525794503663446E-4</v>
      </c>
      <c r="S20" s="59">
        <f t="shared" si="5"/>
        <v>3.9623217683817577E-4</v>
      </c>
      <c r="T20" s="59">
        <f t="shared" si="6"/>
        <v>0</v>
      </c>
      <c r="U20" s="59">
        <f t="shared" si="7"/>
        <v>0</v>
      </c>
      <c r="V20" s="59">
        <f t="shared" si="8"/>
        <v>8.9365542528933043E-5</v>
      </c>
      <c r="W20" s="59">
        <f t="shared" si="9"/>
        <v>3.041437324805751E-3</v>
      </c>
      <c r="X20" s="59">
        <f t="shared" si="10"/>
        <v>1.9143367376779112E-4</v>
      </c>
      <c r="Y20" s="60">
        <f t="shared" si="11"/>
        <v>1.8458476133946668E-4</v>
      </c>
      <c r="Z20" s="60">
        <f t="shared" si="24"/>
        <v>5.1411756341636946E-4</v>
      </c>
      <c r="AB20" s="68"/>
      <c r="AC20" s="59">
        <f t="shared" si="25"/>
        <v>2.1719394773039888</v>
      </c>
      <c r="AD20" s="59">
        <f t="shared" si="25"/>
        <v>-0.58016354850700036</v>
      </c>
      <c r="AE20" s="59">
        <f t="shared" si="25"/>
        <v>-0.64290984211302937</v>
      </c>
      <c r="AF20" s="59">
        <f t="shared" si="25"/>
        <v>2.6797520661157024</v>
      </c>
      <c r="AG20" s="59">
        <f t="shared" si="25"/>
        <v>-1</v>
      </c>
      <c r="AH20" s="59" t="str">
        <f t="shared" ref="AH20:AK83" si="26">+IF(G20=0,"",H20/G20-1)</f>
        <v/>
      </c>
      <c r="AI20" s="59" t="str">
        <f t="shared" si="26"/>
        <v/>
      </c>
      <c r="AJ20" s="59">
        <f t="shared" si="26"/>
        <v>16.544921354305519</v>
      </c>
      <c r="AK20" s="59">
        <f t="shared" si="26"/>
        <v>-0.90147543723693602</v>
      </c>
      <c r="AL20" s="59">
        <f t="shared" ref="AL20:AL83" si="27">+IF(K20=0,"",L20/K20-1)</f>
        <v>0.5018507094386182</v>
      </c>
      <c r="AM20" s="65">
        <f t="shared" si="12"/>
        <v>2.3467393474133575</v>
      </c>
      <c r="AO20" s="58"/>
      <c r="AP20" s="59">
        <f t="shared" si="13"/>
        <v>1.9167259561415992</v>
      </c>
      <c r="AQ20" s="59">
        <f t="shared" si="14"/>
        <v>-0.60999865165536493</v>
      </c>
      <c r="AR20" s="59">
        <f t="shared" si="15"/>
        <v>-0.66623968792693655</v>
      </c>
      <c r="AS20" s="59">
        <f t="shared" si="16"/>
        <v>2.4554907184859633</v>
      </c>
      <c r="AT20" s="59">
        <f t="shared" si="17"/>
        <v>-1</v>
      </c>
      <c r="AU20" s="59">
        <f t="shared" si="18"/>
        <v>0</v>
      </c>
      <c r="AV20" s="59">
        <f t="shared" si="19"/>
        <v>0</v>
      </c>
      <c r="AW20" s="59">
        <f t="shared" si="20"/>
        <v>15.600360823451147</v>
      </c>
      <c r="AX20" s="59">
        <f t="shared" si="21"/>
        <v>-0.90849395118132814</v>
      </c>
      <c r="AY20" s="59">
        <f t="shared" si="22"/>
        <v>0.47240265631237066</v>
      </c>
      <c r="AZ20" s="65">
        <f t="shared" si="23"/>
        <v>1.7260247863627451</v>
      </c>
    </row>
    <row r="21" spans="1:52" ht="51">
      <c r="A21" s="515" t="s">
        <v>12</v>
      </c>
      <c r="B21" s="495">
        <v>30532</v>
      </c>
      <c r="C21" s="496">
        <v>11734</v>
      </c>
      <c r="D21" s="496">
        <v>18750</v>
      </c>
      <c r="E21" s="496">
        <v>23214</v>
      </c>
      <c r="F21" s="496">
        <v>29669</v>
      </c>
      <c r="G21" s="496">
        <v>55365</v>
      </c>
      <c r="H21" s="496">
        <v>78233</v>
      </c>
      <c r="I21" s="496">
        <v>91623</v>
      </c>
      <c r="J21" s="496">
        <v>113004</v>
      </c>
      <c r="K21" s="496">
        <v>186528</v>
      </c>
      <c r="L21" s="497">
        <v>366101</v>
      </c>
      <c r="M21" s="463"/>
      <c r="O21" s="58">
        <f t="shared" si="1"/>
        <v>7.6339698958752711E-4</v>
      </c>
      <c r="P21" s="59">
        <f t="shared" si="2"/>
        <v>5.7758313894334869E-4</v>
      </c>
      <c r="Q21" s="59">
        <f t="shared" si="3"/>
        <v>1.8680342869474018E-3</v>
      </c>
      <c r="R21" s="59">
        <f t="shared" si="4"/>
        <v>1.4893214611902614E-3</v>
      </c>
      <c r="S21" s="59">
        <f t="shared" si="5"/>
        <v>1.3201361543640469E-3</v>
      </c>
      <c r="T21" s="59">
        <f t="shared" si="6"/>
        <v>2.2557058173375754E-3</v>
      </c>
      <c r="U21" s="59">
        <f t="shared" si="7"/>
        <v>1.6679140897923777E-3</v>
      </c>
      <c r="V21" s="59">
        <f t="shared" si="8"/>
        <v>7.2762277642659124E-4</v>
      </c>
      <c r="W21" s="59">
        <f t="shared" si="9"/>
        <v>1.7408162944003742E-3</v>
      </c>
      <c r="X21" s="59">
        <f t="shared" si="10"/>
        <v>1.8356847779435813E-3</v>
      </c>
      <c r="Y21" s="60">
        <f t="shared" si="11"/>
        <v>2.3131603241986747E-3</v>
      </c>
      <c r="Z21" s="60">
        <f t="shared" si="24"/>
        <v>1.5053978282847059E-3</v>
      </c>
      <c r="AB21" s="68"/>
      <c r="AC21" s="59">
        <f t="shared" si="25"/>
        <v>-0.61568190750687801</v>
      </c>
      <c r="AD21" s="59">
        <f t="shared" si="25"/>
        <v>0.5979205726947332</v>
      </c>
      <c r="AE21" s="59">
        <f t="shared" si="25"/>
        <v>0.23808000000000007</v>
      </c>
      <c r="AF21" s="59">
        <f t="shared" si="25"/>
        <v>0.27806496079951759</v>
      </c>
      <c r="AG21" s="59">
        <f t="shared" si="25"/>
        <v>0.86608918399676438</v>
      </c>
      <c r="AH21" s="59">
        <f t="shared" si="26"/>
        <v>0.41304072970288086</v>
      </c>
      <c r="AI21" s="59">
        <f t="shared" si="26"/>
        <v>0.17115539478225306</v>
      </c>
      <c r="AJ21" s="59">
        <f t="shared" si="26"/>
        <v>0.23335843620051744</v>
      </c>
      <c r="AK21" s="59">
        <f t="shared" si="26"/>
        <v>0.65063183604120201</v>
      </c>
      <c r="AL21" s="59">
        <f t="shared" si="27"/>
        <v>0.96271337279121627</v>
      </c>
      <c r="AM21" s="65">
        <f t="shared" si="12"/>
        <v>0.37953725795022075</v>
      </c>
      <c r="AO21" s="58"/>
      <c r="AP21" s="59">
        <f t="shared" si="13"/>
        <v>-0.64660405287988776</v>
      </c>
      <c r="AQ21" s="59">
        <f t="shared" si="14"/>
        <v>0.4843665329259017</v>
      </c>
      <c r="AR21" s="59">
        <f t="shared" si="15"/>
        <v>0.15719226095896821</v>
      </c>
      <c r="AS21" s="59">
        <f t="shared" si="16"/>
        <v>0.20017368842099503</v>
      </c>
      <c r="AT21" s="59">
        <f t="shared" si="17"/>
        <v>0.76884644975070082</v>
      </c>
      <c r="AU21" s="59">
        <f t="shared" si="18"/>
        <v>0.34764519421070728</v>
      </c>
      <c r="AV21" s="59">
        <f t="shared" si="19"/>
        <v>0.12093739929388692</v>
      </c>
      <c r="AW21" s="59">
        <f t="shared" si="20"/>
        <v>0.16695849768238946</v>
      </c>
      <c r="AX21" s="59">
        <f t="shared" si="21"/>
        <v>0.53304712179920322</v>
      </c>
      <c r="AY21" s="59">
        <f t="shared" si="22"/>
        <v>0.92422879685413362</v>
      </c>
      <c r="AZ21" s="65">
        <f t="shared" si="23"/>
        <v>0.30567918890169987</v>
      </c>
    </row>
    <row r="22" spans="1:52" ht="38.25">
      <c r="A22" s="515" t="s">
        <v>94</v>
      </c>
      <c r="B22" s="495">
        <v>73720</v>
      </c>
      <c r="C22" s="496">
        <v>57626</v>
      </c>
      <c r="D22" s="496"/>
      <c r="E22" s="496">
        <v>368</v>
      </c>
      <c r="F22" s="496"/>
      <c r="G22" s="496">
        <v>351</v>
      </c>
      <c r="H22" s="496">
        <v>61979</v>
      </c>
      <c r="I22" s="496">
        <v>1068607</v>
      </c>
      <c r="J22" s="496">
        <v>600225</v>
      </c>
      <c r="K22" s="496">
        <v>2411408</v>
      </c>
      <c r="L22" s="497">
        <v>600225</v>
      </c>
      <c r="M22" s="463"/>
      <c r="O22" s="58">
        <f t="shared" si="1"/>
        <v>1.8432341829029378E-3</v>
      </c>
      <c r="P22" s="59">
        <f t="shared" si="2"/>
        <v>2.8365268420614807E-3</v>
      </c>
      <c r="Q22" s="59">
        <f t="shared" si="3"/>
        <v>0</v>
      </c>
      <c r="R22" s="59">
        <f t="shared" si="4"/>
        <v>2.3609472633670032E-5</v>
      </c>
      <c r="S22" s="59">
        <f t="shared" si="5"/>
        <v>0</v>
      </c>
      <c r="T22" s="59">
        <f t="shared" si="6"/>
        <v>1.4300600413356615E-5</v>
      </c>
      <c r="U22" s="59">
        <f t="shared" si="7"/>
        <v>1.3213816084164198E-3</v>
      </c>
      <c r="V22" s="59">
        <f t="shared" si="8"/>
        <v>8.4863275842189233E-3</v>
      </c>
      <c r="W22" s="59">
        <f t="shared" si="9"/>
        <v>9.2464112801888838E-3</v>
      </c>
      <c r="X22" s="59">
        <f t="shared" si="10"/>
        <v>2.3731477091972118E-2</v>
      </c>
      <c r="Y22" s="60">
        <f t="shared" si="11"/>
        <v>3.7924415819463745E-3</v>
      </c>
      <c r="Z22" s="60">
        <f t="shared" si="24"/>
        <v>4.6632463858867421E-3</v>
      </c>
      <c r="AB22" s="68"/>
      <c r="AC22" s="59">
        <f t="shared" si="25"/>
        <v>-0.21831253391209982</v>
      </c>
      <c r="AD22" s="59">
        <f t="shared" si="25"/>
        <v>-1</v>
      </c>
      <c r="AE22" s="59" t="str">
        <f t="shared" si="25"/>
        <v/>
      </c>
      <c r="AF22" s="59">
        <f t="shared" si="25"/>
        <v>-1</v>
      </c>
      <c r="AG22" s="59" t="str">
        <f t="shared" si="25"/>
        <v/>
      </c>
      <c r="AH22" s="59">
        <f t="shared" si="26"/>
        <v>175.57834757834758</v>
      </c>
      <c r="AI22" s="59">
        <f t="shared" si="26"/>
        <v>16.241436615627872</v>
      </c>
      <c r="AJ22" s="59">
        <f t="shared" si="26"/>
        <v>-0.43831081024174467</v>
      </c>
      <c r="AK22" s="59">
        <f t="shared" si="26"/>
        <v>3.017506768295223</v>
      </c>
      <c r="AL22" s="59">
        <f t="shared" si="27"/>
        <v>-0.75108940502809973</v>
      </c>
      <c r="AM22" s="65">
        <f t="shared" si="12"/>
        <v>23.92869727663609</v>
      </c>
      <c r="AO22" s="58"/>
      <c r="AP22" s="59">
        <f t="shared" si="13"/>
        <v>-0.28120692773526412</v>
      </c>
      <c r="AQ22" s="59">
        <f t="shared" si="14"/>
        <v>-1</v>
      </c>
      <c r="AR22" s="59">
        <f t="shared" si="15"/>
        <v>0</v>
      </c>
      <c r="AS22" s="59">
        <f t="shared" si="16"/>
        <v>-1</v>
      </c>
      <c r="AT22" s="59">
        <f t="shared" si="17"/>
        <v>0</v>
      </c>
      <c r="AU22" s="59">
        <f t="shared" si="18"/>
        <v>167.40630033761641</v>
      </c>
      <c r="AV22" s="59">
        <f t="shared" si="19"/>
        <v>15.502140711741838</v>
      </c>
      <c r="AW22" s="59">
        <f t="shared" si="20"/>
        <v>-0.46855029827017192</v>
      </c>
      <c r="AX22" s="59">
        <f t="shared" si="21"/>
        <v>2.7313149143635393</v>
      </c>
      <c r="AY22" s="59">
        <f t="shared" si="22"/>
        <v>-0.7559700049295095</v>
      </c>
      <c r="AZ22" s="65">
        <f t="shared" si="23"/>
        <v>18.213402873278685</v>
      </c>
    </row>
    <row r="23" spans="1:52" ht="25.5">
      <c r="A23" s="515" t="s">
        <v>13</v>
      </c>
      <c r="B23" s="495">
        <v>3538602</v>
      </c>
      <c r="C23" s="496">
        <v>310606</v>
      </c>
      <c r="D23" s="496">
        <v>106172</v>
      </c>
      <c r="E23" s="496">
        <v>287947</v>
      </c>
      <c r="F23" s="496">
        <v>861604</v>
      </c>
      <c r="G23" s="496">
        <v>1094483</v>
      </c>
      <c r="H23" s="496">
        <v>2409207</v>
      </c>
      <c r="I23" s="496">
        <v>860433</v>
      </c>
      <c r="J23" s="496">
        <v>1343821</v>
      </c>
      <c r="K23" s="496">
        <v>5876059</v>
      </c>
      <c r="L23" s="497">
        <v>4829219</v>
      </c>
      <c r="M23" s="463"/>
      <c r="O23" s="58">
        <f t="shared" si="1"/>
        <v>8.8476290912760464E-2</v>
      </c>
      <c r="P23" s="59">
        <f t="shared" si="2"/>
        <v>1.5288971233563813E-2</v>
      </c>
      <c r="Q23" s="59">
        <f t="shared" si="3"/>
        <v>1.0577756603401576E-2</v>
      </c>
      <c r="R23" s="59">
        <f t="shared" si="4"/>
        <v>1.8473578305563548E-2</v>
      </c>
      <c r="S23" s="59">
        <f t="shared" si="5"/>
        <v>3.8337476529194794E-2</v>
      </c>
      <c r="T23" s="59">
        <f t="shared" si="6"/>
        <v>4.4591920348181727E-2</v>
      </c>
      <c r="U23" s="59">
        <f t="shared" si="7"/>
        <v>5.1363878421208757E-2</v>
      </c>
      <c r="V23" s="59">
        <f t="shared" si="8"/>
        <v>6.8331166670929921E-3</v>
      </c>
      <c r="W23" s="59">
        <f t="shared" si="9"/>
        <v>2.0701439715031373E-2</v>
      </c>
      <c r="X23" s="59">
        <f t="shared" si="10"/>
        <v>5.7828272755824237E-2</v>
      </c>
      <c r="Y23" s="60">
        <f t="shared" si="11"/>
        <v>3.0512775948894979E-2</v>
      </c>
      <c r="Z23" s="60">
        <f t="shared" si="24"/>
        <v>3.4816861585519839E-2</v>
      </c>
      <c r="AB23" s="68"/>
      <c r="AC23" s="59">
        <f t="shared" si="25"/>
        <v>-0.91222352782256944</v>
      </c>
      <c r="AD23" s="59">
        <f t="shared" si="25"/>
        <v>-0.65817788452251413</v>
      </c>
      <c r="AE23" s="59">
        <f t="shared" si="25"/>
        <v>1.7120803978450061</v>
      </c>
      <c r="AF23" s="59">
        <f t="shared" si="25"/>
        <v>1.9922312092155847</v>
      </c>
      <c r="AG23" s="59">
        <f t="shared" si="25"/>
        <v>0.27028542114474874</v>
      </c>
      <c r="AH23" s="59">
        <f t="shared" si="26"/>
        <v>1.2012283425142281</v>
      </c>
      <c r="AI23" s="59">
        <f t="shared" si="26"/>
        <v>-0.64285634235663436</v>
      </c>
      <c r="AJ23" s="59">
        <f t="shared" si="26"/>
        <v>0.56179621190726059</v>
      </c>
      <c r="AK23" s="59">
        <f t="shared" si="26"/>
        <v>3.372650077651711</v>
      </c>
      <c r="AL23" s="59">
        <f t="shared" si="27"/>
        <v>-0.17815341881352786</v>
      </c>
      <c r="AM23" s="65">
        <f t="shared" si="12"/>
        <v>0.67188604867632928</v>
      </c>
      <c r="AO23" s="58"/>
      <c r="AP23" s="59">
        <f t="shared" si="13"/>
        <v>-0.91928600259546611</v>
      </c>
      <c r="AQ23" s="59">
        <f t="shared" si="14"/>
        <v>-0.68246900559453239</v>
      </c>
      <c r="AR23" s="59">
        <f t="shared" si="15"/>
        <v>1.5348914831713301</v>
      </c>
      <c r="AS23" s="59">
        <f t="shared" si="16"/>
        <v>1.8098706068321766</v>
      </c>
      <c r="AT23" s="59">
        <f t="shared" si="17"/>
        <v>0.20409028498278814</v>
      </c>
      <c r="AU23" s="59">
        <f t="shared" si="18"/>
        <v>1.0993554784322876</v>
      </c>
      <c r="AV23" s="59">
        <f t="shared" si="19"/>
        <v>-0.65817031236278178</v>
      </c>
      <c r="AW23" s="59">
        <f t="shared" si="20"/>
        <v>0.47771426994726141</v>
      </c>
      <c r="AX23" s="59">
        <f t="shared" si="21"/>
        <v>3.0611591693616704</v>
      </c>
      <c r="AY23" s="59">
        <f t="shared" si="22"/>
        <v>-0.1942680576603214</v>
      </c>
      <c r="AZ23" s="65">
        <f t="shared" si="23"/>
        <v>0.57328879145144129</v>
      </c>
    </row>
    <row r="24" spans="1:52" ht="38.25">
      <c r="A24" s="515" t="s">
        <v>96</v>
      </c>
      <c r="B24" s="495"/>
      <c r="C24" s="496"/>
      <c r="D24" s="496"/>
      <c r="E24" s="496"/>
      <c r="F24" s="496"/>
      <c r="G24" s="496"/>
      <c r="H24" s="496">
        <v>20486</v>
      </c>
      <c r="I24" s="496">
        <v>1471</v>
      </c>
      <c r="J24" s="496">
        <v>1471</v>
      </c>
      <c r="K24" s="496">
        <v>1900</v>
      </c>
      <c r="L24" s="497">
        <v>69629</v>
      </c>
      <c r="M24" s="463"/>
      <c r="O24" s="58">
        <f t="shared" si="1"/>
        <v>0</v>
      </c>
      <c r="P24" s="59">
        <f t="shared" si="2"/>
        <v>0</v>
      </c>
      <c r="Q24" s="59">
        <f t="shared" si="3"/>
        <v>0</v>
      </c>
      <c r="R24" s="59">
        <f t="shared" si="4"/>
        <v>0</v>
      </c>
      <c r="S24" s="59">
        <f t="shared" si="5"/>
        <v>0</v>
      </c>
      <c r="T24" s="59">
        <f t="shared" si="6"/>
        <v>0</v>
      </c>
      <c r="U24" s="59">
        <f t="shared" si="7"/>
        <v>4.3675799270751024E-4</v>
      </c>
      <c r="V24" s="59">
        <f t="shared" si="8"/>
        <v>1.1681925980632765E-5</v>
      </c>
      <c r="W24" s="59">
        <f t="shared" si="9"/>
        <v>2.2660620589208792E-5</v>
      </c>
      <c r="X24" s="59">
        <f t="shared" si="10"/>
        <v>1.869853897587925E-5</v>
      </c>
      <c r="Y24" s="60">
        <f t="shared" si="11"/>
        <v>4.3994154676886853E-4</v>
      </c>
      <c r="Z24" s="60">
        <f t="shared" si="24"/>
        <v>8.452187500200904E-5</v>
      </c>
      <c r="AB24" s="68"/>
      <c r="AC24" s="59" t="str">
        <f t="shared" si="25"/>
        <v/>
      </c>
      <c r="AD24" s="59" t="str">
        <f t="shared" si="25"/>
        <v/>
      </c>
      <c r="AE24" s="59" t="str">
        <f t="shared" si="25"/>
        <v/>
      </c>
      <c r="AF24" s="59" t="str">
        <f t="shared" si="25"/>
        <v/>
      </c>
      <c r="AG24" s="59" t="str">
        <f t="shared" si="25"/>
        <v/>
      </c>
      <c r="AH24" s="59" t="str">
        <f t="shared" si="26"/>
        <v/>
      </c>
      <c r="AI24" s="59">
        <f t="shared" si="26"/>
        <v>-0.92819486478570734</v>
      </c>
      <c r="AJ24" s="59">
        <f t="shared" si="26"/>
        <v>0</v>
      </c>
      <c r="AK24" s="59">
        <f t="shared" si="26"/>
        <v>0.29163834126444588</v>
      </c>
      <c r="AL24" s="59">
        <f t="shared" si="27"/>
        <v>35.646842105263161</v>
      </c>
      <c r="AM24" s="65">
        <f t="shared" si="12"/>
        <v>8.7525713954354742</v>
      </c>
      <c r="AO24" s="58"/>
      <c r="AP24" s="59">
        <f t="shared" si="13"/>
        <v>0</v>
      </c>
      <c r="AQ24" s="59">
        <f t="shared" si="14"/>
        <v>0</v>
      </c>
      <c r="AR24" s="59">
        <f t="shared" si="15"/>
        <v>0</v>
      </c>
      <c r="AS24" s="59">
        <f t="shared" si="16"/>
        <v>0</v>
      </c>
      <c r="AT24" s="59">
        <f t="shared" si="17"/>
        <v>0</v>
      </c>
      <c r="AU24" s="59">
        <f t="shared" si="18"/>
        <v>0</v>
      </c>
      <c r="AV24" s="59">
        <f t="shared" si="19"/>
        <v>-0.93127379860806603</v>
      </c>
      <c r="AW24" s="59">
        <f t="shared" si="20"/>
        <v>-5.3836692213075965E-2</v>
      </c>
      <c r="AX24" s="59">
        <f t="shared" si="21"/>
        <v>0.19962695390029328</v>
      </c>
      <c r="AY24" s="59">
        <f t="shared" si="22"/>
        <v>34.928276573787414</v>
      </c>
      <c r="AZ24" s="65">
        <f t="shared" si="23"/>
        <v>3.4142793036866563</v>
      </c>
    </row>
    <row r="25" spans="1:52" ht="25.5">
      <c r="A25" s="515" t="s">
        <v>14</v>
      </c>
      <c r="B25" s="495">
        <v>7708580</v>
      </c>
      <c r="C25" s="496">
        <v>3620033</v>
      </c>
      <c r="D25" s="496">
        <v>3611014</v>
      </c>
      <c r="E25" s="496">
        <v>3616717</v>
      </c>
      <c r="F25" s="496">
        <v>3653477</v>
      </c>
      <c r="G25" s="496">
        <v>3395105</v>
      </c>
      <c r="H25" s="496">
        <v>3393073</v>
      </c>
      <c r="I25" s="496">
        <v>2056305</v>
      </c>
      <c r="J25" s="496">
        <v>19541</v>
      </c>
      <c r="K25" s="496">
        <v>499102</v>
      </c>
      <c r="L25" s="497">
        <v>496382</v>
      </c>
      <c r="M25" s="463"/>
      <c r="O25" s="58">
        <f t="shared" si="1"/>
        <v>0.19273898748836041</v>
      </c>
      <c r="P25" s="59">
        <f t="shared" si="2"/>
        <v>0.17818902532968361</v>
      </c>
      <c r="Q25" s="59">
        <f t="shared" si="3"/>
        <v>0.35975989134117786</v>
      </c>
      <c r="R25" s="59">
        <f t="shared" si="4"/>
        <v>0.23203473107399233</v>
      </c>
      <c r="S25" s="59">
        <f t="shared" si="5"/>
        <v>0.16256318301383582</v>
      </c>
      <c r="T25" s="59">
        <f t="shared" si="6"/>
        <v>0.13832490018914276</v>
      </c>
      <c r="U25" s="59">
        <f t="shared" si="7"/>
        <v>7.2339732138536075E-2</v>
      </c>
      <c r="V25" s="59">
        <f t="shared" si="8"/>
        <v>1.6330117473558843E-2</v>
      </c>
      <c r="W25" s="59">
        <f t="shared" si="9"/>
        <v>3.0102731946548541E-4</v>
      </c>
      <c r="X25" s="59">
        <f t="shared" si="10"/>
        <v>4.9118306315469916E-3</v>
      </c>
      <c r="Y25" s="60">
        <f t="shared" si="11"/>
        <v>3.1363234409258283E-3</v>
      </c>
      <c r="Z25" s="60">
        <f t="shared" si="24"/>
        <v>0.12369361358547509</v>
      </c>
      <c r="AB25" s="68"/>
      <c r="AC25" s="59">
        <f t="shared" si="25"/>
        <v>-0.53038912484530232</v>
      </c>
      <c r="AD25" s="59">
        <f t="shared" si="25"/>
        <v>-2.4914137523055491E-3</v>
      </c>
      <c r="AE25" s="59">
        <f t="shared" si="25"/>
        <v>1.5793347796491108E-3</v>
      </c>
      <c r="AF25" s="59">
        <f t="shared" si="25"/>
        <v>1.0163913847834882E-2</v>
      </c>
      <c r="AG25" s="59">
        <f t="shared" si="25"/>
        <v>-7.0719481743008128E-2</v>
      </c>
      <c r="AH25" s="59">
        <f t="shared" si="26"/>
        <v>-5.9850873537048432E-4</v>
      </c>
      <c r="AI25" s="59">
        <f t="shared" si="26"/>
        <v>-0.39396971417944737</v>
      </c>
      <c r="AJ25" s="59">
        <f t="shared" si="26"/>
        <v>-0.99049703229822428</v>
      </c>
      <c r="AK25" s="59">
        <f t="shared" si="26"/>
        <v>24.541272196919298</v>
      </c>
      <c r="AL25" s="59">
        <f t="shared" si="27"/>
        <v>-5.4497878189228022E-3</v>
      </c>
      <c r="AM25" s="65">
        <f t="shared" si="12"/>
        <v>2.2558900382174203</v>
      </c>
      <c r="AO25" s="58"/>
      <c r="AP25" s="59">
        <f t="shared" si="13"/>
        <v>-0.56817390790372624</v>
      </c>
      <c r="AQ25" s="59">
        <f t="shared" si="14"/>
        <v>-7.3377996983098548E-2</v>
      </c>
      <c r="AR25" s="59">
        <f t="shared" si="15"/>
        <v>-6.3857056940228918E-2</v>
      </c>
      <c r="AS25" s="59">
        <f t="shared" si="16"/>
        <v>-5.1400212369391518E-2</v>
      </c>
      <c r="AT25" s="59">
        <f t="shared" si="17"/>
        <v>-0.11914470131550714</v>
      </c>
      <c r="AU25" s="59">
        <f t="shared" si="18"/>
        <v>-4.6850817192657268E-2</v>
      </c>
      <c r="AV25" s="59">
        <f t="shared" si="19"/>
        <v>-0.41995569887006834</v>
      </c>
      <c r="AW25" s="59">
        <f t="shared" si="20"/>
        <v>-0.99100864064549554</v>
      </c>
      <c r="AX25" s="59">
        <f t="shared" si="21"/>
        <v>22.721809414803843</v>
      </c>
      <c r="AY25" s="59">
        <f t="shared" si="22"/>
        <v>-2.4950772371493013E-2</v>
      </c>
      <c r="AZ25" s="65">
        <f t="shared" si="23"/>
        <v>2.0363089610212173</v>
      </c>
    </row>
    <row r="26" spans="1:52" ht="38.25">
      <c r="A26" s="515" t="s">
        <v>15</v>
      </c>
      <c r="B26" s="495">
        <v>18969720</v>
      </c>
      <c r="C26" s="496">
        <v>4356983</v>
      </c>
      <c r="D26" s="496">
        <v>789297</v>
      </c>
      <c r="E26" s="496">
        <v>3671384</v>
      </c>
      <c r="F26" s="496">
        <v>4989133</v>
      </c>
      <c r="G26" s="496">
        <v>9487334</v>
      </c>
      <c r="H26" s="496">
        <v>12124783</v>
      </c>
      <c r="I26" s="496">
        <v>68350630</v>
      </c>
      <c r="J26" s="496">
        <v>13311483</v>
      </c>
      <c r="K26" s="496">
        <v>32259911</v>
      </c>
      <c r="L26" s="497">
        <v>60643314</v>
      </c>
      <c r="M26" s="463"/>
      <c r="O26" s="58">
        <f t="shared" si="1"/>
        <v>0.4743032602292121</v>
      </c>
      <c r="P26" s="59">
        <f t="shared" si="2"/>
        <v>0.21446394387785991</v>
      </c>
      <c r="Q26" s="59">
        <f t="shared" si="3"/>
        <v>7.8636472457851922E-2</v>
      </c>
      <c r="R26" s="59">
        <f t="shared" si="4"/>
        <v>0.23554195672742942</v>
      </c>
      <c r="S26" s="59">
        <f t="shared" si="5"/>
        <v>0.22199382696520814</v>
      </c>
      <c r="T26" s="59">
        <f t="shared" si="6"/>
        <v>0.38653724365257053</v>
      </c>
      <c r="U26" s="59">
        <f t="shared" si="7"/>
        <v>0.25849828590716317</v>
      </c>
      <c r="V26" s="59">
        <f t="shared" si="8"/>
        <v>0.54280557470402258</v>
      </c>
      <c r="W26" s="59">
        <f t="shared" si="9"/>
        <v>0.20506217929483539</v>
      </c>
      <c r="X26" s="59">
        <f t="shared" si="10"/>
        <v>0.31748063325889248</v>
      </c>
      <c r="Y26" s="60">
        <f t="shared" si="11"/>
        <v>0.38316668862614972</v>
      </c>
      <c r="Z26" s="60">
        <f t="shared" si="24"/>
        <v>0.301680915063745</v>
      </c>
      <c r="AB26" s="68"/>
      <c r="AC26" s="59">
        <f t="shared" si="25"/>
        <v>-0.77031906638579795</v>
      </c>
      <c r="AD26" s="59">
        <f t="shared" si="25"/>
        <v>-0.81884322247757224</v>
      </c>
      <c r="AE26" s="59">
        <f t="shared" si="25"/>
        <v>3.6514607302447617</v>
      </c>
      <c r="AF26" s="59">
        <f t="shared" si="25"/>
        <v>0.35892431845865214</v>
      </c>
      <c r="AG26" s="59">
        <f t="shared" si="25"/>
        <v>0.90159973686810924</v>
      </c>
      <c r="AH26" s="59">
        <f t="shared" si="26"/>
        <v>0.27799685348908354</v>
      </c>
      <c r="AI26" s="59">
        <f t="shared" si="26"/>
        <v>4.6372662504557818</v>
      </c>
      <c r="AJ26" s="59">
        <f t="shared" si="26"/>
        <v>-0.80524710598863536</v>
      </c>
      <c r="AK26" s="59">
        <f t="shared" si="26"/>
        <v>1.4234648385908617</v>
      </c>
      <c r="AL26" s="59">
        <f t="shared" si="27"/>
        <v>0.87983513035730332</v>
      </c>
      <c r="AM26" s="65">
        <f t="shared" si="12"/>
        <v>0.97361384636125481</v>
      </c>
      <c r="AO26" s="58"/>
      <c r="AP26" s="59">
        <f t="shared" si="13"/>
        <v>-0.78879914150418196</v>
      </c>
      <c r="AQ26" s="59">
        <f t="shared" si="14"/>
        <v>-0.83171688107531094</v>
      </c>
      <c r="AR26" s="59">
        <f t="shared" si="15"/>
        <v>3.3475658755442206</v>
      </c>
      <c r="AS26" s="59">
        <f t="shared" si="16"/>
        <v>0.27610509762292446</v>
      </c>
      <c r="AT26" s="59">
        <f t="shared" si="17"/>
        <v>0.80250653197712007</v>
      </c>
      <c r="AU26" s="59">
        <f t="shared" si="18"/>
        <v>0.2188511495936234</v>
      </c>
      <c r="AV26" s="59">
        <f t="shared" si="19"/>
        <v>4.3955457986751361</v>
      </c>
      <c r="AW26" s="59">
        <f t="shared" si="20"/>
        <v>-0.81573195760113104</v>
      </c>
      <c r="AX26" s="59">
        <f t="shared" si="21"/>
        <v>1.250826449884705</v>
      </c>
      <c r="AY26" s="59">
        <f t="shared" si="22"/>
        <v>0.84297561799735621</v>
      </c>
      <c r="AZ26" s="65">
        <f t="shared" si="23"/>
        <v>0.86981285411144627</v>
      </c>
    </row>
    <row r="27" spans="1:52" ht="25.5">
      <c r="A27" s="515" t="s">
        <v>97</v>
      </c>
      <c r="B27" s="495"/>
      <c r="C27" s="496"/>
      <c r="D27" s="496"/>
      <c r="E27" s="496"/>
      <c r="F27" s="496"/>
      <c r="G27" s="496">
        <v>92646</v>
      </c>
      <c r="H27" s="496">
        <v>453736</v>
      </c>
      <c r="I27" s="496">
        <v>917789</v>
      </c>
      <c r="J27" s="496">
        <v>762467</v>
      </c>
      <c r="K27" s="496">
        <v>250745</v>
      </c>
      <c r="L27" s="497">
        <v>1959130</v>
      </c>
      <c r="M27" s="463"/>
      <c r="O27" s="58">
        <f t="shared" si="1"/>
        <v>0</v>
      </c>
      <c r="P27" s="59">
        <f t="shared" si="2"/>
        <v>0</v>
      </c>
      <c r="Q27" s="59">
        <f t="shared" si="3"/>
        <v>0</v>
      </c>
      <c r="R27" s="59">
        <f t="shared" si="4"/>
        <v>0</v>
      </c>
      <c r="S27" s="59">
        <f t="shared" si="5"/>
        <v>0</v>
      </c>
      <c r="T27" s="59">
        <f t="shared" si="6"/>
        <v>3.7746251450023844E-3</v>
      </c>
      <c r="U27" s="59">
        <f t="shared" si="7"/>
        <v>9.6735733954473723E-3</v>
      </c>
      <c r="V27" s="59">
        <f t="shared" si="8"/>
        <v>7.2886085410190102E-3</v>
      </c>
      <c r="W27" s="59">
        <f t="shared" si="9"/>
        <v>1.1745734465528389E-2</v>
      </c>
      <c r="X27" s="59">
        <f t="shared" si="10"/>
        <v>2.4676658713193907E-3</v>
      </c>
      <c r="Y27" s="60">
        <f t="shared" si="11"/>
        <v>1.2378501522660004E-2</v>
      </c>
      <c r="Z27" s="60">
        <f t="shared" si="24"/>
        <v>4.3026099037251414E-3</v>
      </c>
      <c r="AB27" s="68"/>
      <c r="AC27" s="59" t="str">
        <f t="shared" si="25"/>
        <v/>
      </c>
      <c r="AD27" s="59" t="str">
        <f t="shared" si="25"/>
        <v/>
      </c>
      <c r="AE27" s="59" t="str">
        <f t="shared" si="25"/>
        <v/>
      </c>
      <c r="AF27" s="59" t="str">
        <f t="shared" si="25"/>
        <v/>
      </c>
      <c r="AG27" s="59" t="str">
        <f t="shared" si="25"/>
        <v/>
      </c>
      <c r="AH27" s="59">
        <f t="shared" si="26"/>
        <v>3.8975239082097444</v>
      </c>
      <c r="AI27" s="59">
        <f t="shared" si="26"/>
        <v>1.0227378916374281</v>
      </c>
      <c r="AJ27" s="59">
        <f t="shared" si="26"/>
        <v>-0.16923497666675025</v>
      </c>
      <c r="AK27" s="59">
        <f t="shared" si="26"/>
        <v>-0.67113986572533624</v>
      </c>
      <c r="AL27" s="59">
        <f t="shared" si="27"/>
        <v>6.8132365550659033</v>
      </c>
      <c r="AM27" s="65">
        <f t="shared" si="12"/>
        <v>2.178624702504198</v>
      </c>
      <c r="AO27" s="58"/>
      <c r="AP27" s="59">
        <f t="shared" si="13"/>
        <v>0</v>
      </c>
      <c r="AQ27" s="59">
        <f t="shared" si="14"/>
        <v>0</v>
      </c>
      <c r="AR27" s="59">
        <f t="shared" si="15"/>
        <v>0</v>
      </c>
      <c r="AS27" s="59">
        <f t="shared" si="16"/>
        <v>0</v>
      </c>
      <c r="AT27" s="59">
        <f t="shared" si="17"/>
        <v>0</v>
      </c>
      <c r="AU27" s="59">
        <f t="shared" si="18"/>
        <v>3.6708664652707546</v>
      </c>
      <c r="AV27" s="59">
        <f t="shared" si="19"/>
        <v>0.93600487331300553</v>
      </c>
      <c r="AW27" s="59">
        <f t="shared" si="20"/>
        <v>-0.21396061752933127</v>
      </c>
      <c r="AX27" s="59">
        <f t="shared" si="21"/>
        <v>-0.69456660697068473</v>
      </c>
      <c r="AY27" s="59">
        <f t="shared" si="22"/>
        <v>6.6600358382999048</v>
      </c>
      <c r="AZ27" s="65">
        <f t="shared" si="23"/>
        <v>1.035837995238365</v>
      </c>
    </row>
    <row r="28" spans="1:52" ht="25.5">
      <c r="A28" s="515" t="s">
        <v>98</v>
      </c>
      <c r="B28" s="495"/>
      <c r="C28" s="496"/>
      <c r="D28" s="496"/>
      <c r="E28" s="496"/>
      <c r="F28" s="496"/>
      <c r="G28" s="496">
        <v>19721</v>
      </c>
      <c r="H28" s="496">
        <v>22769</v>
      </c>
      <c r="I28" s="496">
        <v>32669</v>
      </c>
      <c r="J28" s="496">
        <v>35418</v>
      </c>
      <c r="K28" s="496">
        <v>88789</v>
      </c>
      <c r="L28" s="497">
        <v>717444</v>
      </c>
      <c r="M28" s="463"/>
      <c r="O28" s="58">
        <f t="shared" si="1"/>
        <v>0</v>
      </c>
      <c r="P28" s="59">
        <f t="shared" si="2"/>
        <v>0</v>
      </c>
      <c r="Q28" s="59">
        <f t="shared" si="3"/>
        <v>0</v>
      </c>
      <c r="R28" s="59">
        <f t="shared" si="4"/>
        <v>0</v>
      </c>
      <c r="S28" s="59">
        <f t="shared" si="5"/>
        <v>0</v>
      </c>
      <c r="T28" s="59">
        <f t="shared" si="6"/>
        <v>8.0348188248377712E-4</v>
      </c>
      <c r="U28" s="59">
        <f t="shared" si="7"/>
        <v>4.8543115961912042E-4</v>
      </c>
      <c r="V28" s="59">
        <f t="shared" si="8"/>
        <v>2.594404077914968E-4</v>
      </c>
      <c r="W28" s="59">
        <f t="shared" si="9"/>
        <v>5.4561105372440317E-4</v>
      </c>
      <c r="X28" s="59">
        <f t="shared" si="10"/>
        <v>8.738024090154435E-4</v>
      </c>
      <c r="Y28" s="60">
        <f t="shared" si="11"/>
        <v>4.533074194373668E-3</v>
      </c>
      <c r="Z28" s="60">
        <f t="shared" si="24"/>
        <v>6.8189464609162806E-4</v>
      </c>
      <c r="AB28" s="68"/>
      <c r="AC28" s="59" t="str">
        <f t="shared" si="25"/>
        <v/>
      </c>
      <c r="AD28" s="59" t="str">
        <f t="shared" si="25"/>
        <v/>
      </c>
      <c r="AE28" s="59" t="str">
        <f t="shared" si="25"/>
        <v/>
      </c>
      <c r="AF28" s="59" t="str">
        <f t="shared" si="25"/>
        <v/>
      </c>
      <c r="AG28" s="59" t="str">
        <f t="shared" si="25"/>
        <v/>
      </c>
      <c r="AH28" s="59">
        <f t="shared" si="26"/>
        <v>0.15455605699508146</v>
      </c>
      <c r="AI28" s="59">
        <f t="shared" si="26"/>
        <v>0.43480170407132501</v>
      </c>
      <c r="AJ28" s="59">
        <f t="shared" si="26"/>
        <v>8.4147050720866812E-2</v>
      </c>
      <c r="AK28" s="59">
        <f t="shared" si="26"/>
        <v>1.5068891524083798</v>
      </c>
      <c r="AL28" s="59">
        <f t="shared" si="27"/>
        <v>7.0803252655171249</v>
      </c>
      <c r="AM28" s="65">
        <f t="shared" si="12"/>
        <v>1.8521438459425557</v>
      </c>
      <c r="AO28" s="58"/>
      <c r="AP28" s="59">
        <f t="shared" si="13"/>
        <v>0</v>
      </c>
      <c r="AQ28" s="59">
        <f t="shared" si="14"/>
        <v>0</v>
      </c>
      <c r="AR28" s="59">
        <f t="shared" si="15"/>
        <v>0</v>
      </c>
      <c r="AS28" s="59">
        <f t="shared" si="16"/>
        <v>0</v>
      </c>
      <c r="AT28" s="59">
        <f t="shared" si="17"/>
        <v>0</v>
      </c>
      <c r="AU28" s="59">
        <f t="shared" si="18"/>
        <v>0.10112319408050596</v>
      </c>
      <c r="AV28" s="59">
        <f t="shared" si="19"/>
        <v>0.37327881323825141</v>
      </c>
      <c r="AW28" s="59">
        <f t="shared" si="20"/>
        <v>2.5780159637493583E-2</v>
      </c>
      <c r="AX28" s="59">
        <f t="shared" si="21"/>
        <v>1.3283079338797994</v>
      </c>
      <c r="AY28" s="59">
        <f t="shared" si="22"/>
        <v>6.9218875152128678</v>
      </c>
      <c r="AZ28" s="65">
        <f t="shared" si="23"/>
        <v>0.87503776160489188</v>
      </c>
    </row>
    <row r="29" spans="1:52" ht="38.25">
      <c r="A29" s="515" t="s">
        <v>99</v>
      </c>
      <c r="B29" s="495"/>
      <c r="C29" s="496"/>
      <c r="D29" s="496"/>
      <c r="E29" s="496"/>
      <c r="F29" s="496"/>
      <c r="G29" s="496"/>
      <c r="H29" s="496"/>
      <c r="I29" s="496"/>
      <c r="J29" s="496">
        <v>661217</v>
      </c>
      <c r="K29" s="496"/>
      <c r="L29" s="497"/>
      <c r="M29" s="463"/>
      <c r="O29" s="58">
        <f t="shared" si="1"/>
        <v>0</v>
      </c>
      <c r="P29" s="59">
        <f t="shared" si="2"/>
        <v>0</v>
      </c>
      <c r="Q29" s="59">
        <f t="shared" si="3"/>
        <v>0</v>
      </c>
      <c r="R29" s="59">
        <f t="shared" si="4"/>
        <v>0</v>
      </c>
      <c r="S29" s="59">
        <f t="shared" si="5"/>
        <v>0</v>
      </c>
      <c r="T29" s="59">
        <f t="shared" si="6"/>
        <v>0</v>
      </c>
      <c r="U29" s="59">
        <f t="shared" si="7"/>
        <v>0</v>
      </c>
      <c r="V29" s="59">
        <f t="shared" si="8"/>
        <v>0</v>
      </c>
      <c r="W29" s="59">
        <f t="shared" si="9"/>
        <v>1.0185987467120919E-2</v>
      </c>
      <c r="X29" s="59">
        <f t="shared" si="10"/>
        <v>0</v>
      </c>
      <c r="Y29" s="60">
        <f t="shared" si="11"/>
        <v>0</v>
      </c>
      <c r="Z29" s="60">
        <f t="shared" si="24"/>
        <v>9.2599886064735626E-4</v>
      </c>
      <c r="AB29" s="68"/>
      <c r="AC29" s="59" t="str">
        <f t="shared" si="25"/>
        <v/>
      </c>
      <c r="AD29" s="59" t="str">
        <f t="shared" si="25"/>
        <v/>
      </c>
      <c r="AE29" s="59" t="str">
        <f t="shared" si="25"/>
        <v/>
      </c>
      <c r="AF29" s="59" t="str">
        <f t="shared" si="25"/>
        <v/>
      </c>
      <c r="AG29" s="59" t="str">
        <f t="shared" si="25"/>
        <v/>
      </c>
      <c r="AH29" s="59" t="str">
        <f t="shared" si="26"/>
        <v/>
      </c>
      <c r="AI29" s="59" t="str">
        <f t="shared" si="26"/>
        <v/>
      </c>
      <c r="AJ29" s="59" t="str">
        <f t="shared" si="26"/>
        <v/>
      </c>
      <c r="AK29" s="59">
        <f t="shared" si="26"/>
        <v>-1</v>
      </c>
      <c r="AL29" s="59" t="str">
        <f t="shared" si="27"/>
        <v/>
      </c>
      <c r="AM29" s="65">
        <f t="shared" si="12"/>
        <v>-1</v>
      </c>
      <c r="AO29" s="58"/>
      <c r="AP29" s="59">
        <f t="shared" si="13"/>
        <v>0</v>
      </c>
      <c r="AQ29" s="59">
        <f t="shared" si="14"/>
        <v>0</v>
      </c>
      <c r="AR29" s="59">
        <f t="shared" si="15"/>
        <v>0</v>
      </c>
      <c r="AS29" s="59">
        <f t="shared" si="16"/>
        <v>0</v>
      </c>
      <c r="AT29" s="59">
        <f t="shared" si="17"/>
        <v>0</v>
      </c>
      <c r="AU29" s="59">
        <f t="shared" si="18"/>
        <v>0</v>
      </c>
      <c r="AV29" s="59">
        <f t="shared" si="19"/>
        <v>0</v>
      </c>
      <c r="AW29" s="59">
        <f t="shared" si="20"/>
        <v>0</v>
      </c>
      <c r="AX29" s="59">
        <f t="shared" si="21"/>
        <v>-1</v>
      </c>
      <c r="AY29" s="59">
        <f t="shared" si="22"/>
        <v>0</v>
      </c>
      <c r="AZ29" s="65">
        <f t="shared" si="23"/>
        <v>-0.1</v>
      </c>
    </row>
    <row r="30" spans="1:52" ht="25.5">
      <c r="A30" s="515" t="s">
        <v>101</v>
      </c>
      <c r="B30" s="495">
        <v>430373</v>
      </c>
      <c r="C30" s="496">
        <v>686489</v>
      </c>
      <c r="D30" s="496"/>
      <c r="E30" s="496">
        <v>2466</v>
      </c>
      <c r="F30" s="496"/>
      <c r="G30" s="496"/>
      <c r="H30" s="496"/>
      <c r="I30" s="496"/>
      <c r="J30" s="496"/>
      <c r="K30" s="496"/>
      <c r="L30" s="497">
        <v>138512</v>
      </c>
      <c r="M30" s="463"/>
      <c r="O30" s="58">
        <f t="shared" si="1"/>
        <v>1.0760692145937141E-2</v>
      </c>
      <c r="P30" s="59">
        <f t="shared" si="2"/>
        <v>3.379107478013299E-2</v>
      </c>
      <c r="Q30" s="59">
        <f t="shared" si="3"/>
        <v>0</v>
      </c>
      <c r="R30" s="59">
        <f t="shared" si="4"/>
        <v>1.5820912911584321E-4</v>
      </c>
      <c r="S30" s="59">
        <f t="shared" si="5"/>
        <v>0</v>
      </c>
      <c r="T30" s="59">
        <f t="shared" si="6"/>
        <v>0</v>
      </c>
      <c r="U30" s="59">
        <f t="shared" si="7"/>
        <v>0</v>
      </c>
      <c r="V30" s="59">
        <f t="shared" si="8"/>
        <v>0</v>
      </c>
      <c r="W30" s="59">
        <f t="shared" si="9"/>
        <v>0</v>
      </c>
      <c r="X30" s="59">
        <f t="shared" si="10"/>
        <v>0</v>
      </c>
      <c r="Y30" s="60">
        <f t="shared" si="11"/>
        <v>8.7516959206723516E-4</v>
      </c>
      <c r="Z30" s="60">
        <f t="shared" si="24"/>
        <v>4.144104149750292E-3</v>
      </c>
      <c r="AB30" s="68"/>
      <c r="AC30" s="59">
        <f t="shared" si="25"/>
        <v>0.59510238792861081</v>
      </c>
      <c r="AD30" s="59">
        <f t="shared" si="25"/>
        <v>-1</v>
      </c>
      <c r="AE30" s="59" t="str">
        <f t="shared" si="25"/>
        <v/>
      </c>
      <c r="AF30" s="59">
        <f t="shared" si="25"/>
        <v>-1</v>
      </c>
      <c r="AG30" s="59" t="str">
        <f t="shared" si="25"/>
        <v/>
      </c>
      <c r="AH30" s="59" t="str">
        <f t="shared" si="26"/>
        <v/>
      </c>
      <c r="AI30" s="59" t="str">
        <f t="shared" si="26"/>
        <v/>
      </c>
      <c r="AJ30" s="59" t="str">
        <f t="shared" si="26"/>
        <v/>
      </c>
      <c r="AK30" s="59" t="str">
        <f t="shared" si="26"/>
        <v/>
      </c>
      <c r="AL30" s="59" t="str">
        <f t="shared" si="27"/>
        <v/>
      </c>
      <c r="AM30" s="65">
        <f t="shared" si="12"/>
        <v>-0.46829920402379638</v>
      </c>
      <c r="AO30" s="58"/>
      <c r="AP30" s="59">
        <f t="shared" si="13"/>
        <v>0.46676081648607903</v>
      </c>
      <c r="AQ30" s="59">
        <f t="shared" si="14"/>
        <v>-1</v>
      </c>
      <c r="AR30" s="59">
        <f t="shared" si="15"/>
        <v>0</v>
      </c>
      <c r="AS30" s="59">
        <f t="shared" si="16"/>
        <v>-1</v>
      </c>
      <c r="AT30" s="59">
        <f t="shared" si="17"/>
        <v>0</v>
      </c>
      <c r="AU30" s="59">
        <f t="shared" si="18"/>
        <v>0</v>
      </c>
      <c r="AV30" s="59">
        <f t="shared" si="19"/>
        <v>0</v>
      </c>
      <c r="AW30" s="59">
        <f t="shared" si="20"/>
        <v>0</v>
      </c>
      <c r="AX30" s="59">
        <f t="shared" si="21"/>
        <v>0</v>
      </c>
      <c r="AY30" s="59">
        <f t="shared" si="22"/>
        <v>0</v>
      </c>
      <c r="AZ30" s="65">
        <f t="shared" si="23"/>
        <v>-0.15332391835139209</v>
      </c>
    </row>
    <row r="31" spans="1:52" ht="25.5">
      <c r="A31" s="515" t="s">
        <v>104</v>
      </c>
      <c r="B31" s="495"/>
      <c r="C31" s="496">
        <v>87806</v>
      </c>
      <c r="D31" s="496"/>
      <c r="E31" s="496"/>
      <c r="F31" s="496"/>
      <c r="G31" s="496">
        <v>210698</v>
      </c>
      <c r="H31" s="496">
        <v>418794</v>
      </c>
      <c r="I31" s="496">
        <v>100776</v>
      </c>
      <c r="J31" s="496">
        <v>1629582</v>
      </c>
      <c r="K31" s="496">
        <v>2297546</v>
      </c>
      <c r="L31" s="497">
        <v>3349794</v>
      </c>
      <c r="M31" s="463"/>
      <c r="O31" s="58">
        <f t="shared" si="1"/>
        <v>0</v>
      </c>
      <c r="P31" s="59">
        <f t="shared" si="2"/>
        <v>4.3220781573256924E-3</v>
      </c>
      <c r="Q31" s="59">
        <f t="shared" si="3"/>
        <v>0</v>
      </c>
      <c r="R31" s="59">
        <f t="shared" si="4"/>
        <v>0</v>
      </c>
      <c r="S31" s="59">
        <f t="shared" si="5"/>
        <v>0</v>
      </c>
      <c r="T31" s="59">
        <f t="shared" si="6"/>
        <v>8.5843530082433395E-3</v>
      </c>
      <c r="U31" s="59">
        <f t="shared" si="7"/>
        <v>8.9286159717831218E-3</v>
      </c>
      <c r="V31" s="59">
        <f t="shared" si="8"/>
        <v>8.003111982489786E-4</v>
      </c>
      <c r="W31" s="59">
        <f t="shared" si="9"/>
        <v>2.5103561808976237E-2</v>
      </c>
      <c r="X31" s="59">
        <f t="shared" si="10"/>
        <v>2.2610922857829192E-2</v>
      </c>
      <c r="Y31" s="60">
        <f t="shared" si="11"/>
        <v>2.1165226467665416E-2</v>
      </c>
      <c r="Z31" s="60">
        <f t="shared" si="24"/>
        <v>8.3195517700065426E-3</v>
      </c>
      <c r="AB31" s="68"/>
      <c r="AC31" s="59" t="str">
        <f t="shared" si="25"/>
        <v/>
      </c>
      <c r="AD31" s="59">
        <f t="shared" si="25"/>
        <v>-1</v>
      </c>
      <c r="AE31" s="59" t="str">
        <f t="shared" si="25"/>
        <v/>
      </c>
      <c r="AF31" s="59" t="str">
        <f t="shared" si="25"/>
        <v/>
      </c>
      <c r="AG31" s="59" t="str">
        <f t="shared" si="25"/>
        <v/>
      </c>
      <c r="AH31" s="59">
        <f t="shared" si="26"/>
        <v>0.98765057095938258</v>
      </c>
      <c r="AI31" s="59">
        <f t="shared" si="26"/>
        <v>-0.75936618003123257</v>
      </c>
      <c r="AJ31" s="59">
        <f t="shared" si="26"/>
        <v>15.170338175756132</v>
      </c>
      <c r="AK31" s="59">
        <f t="shared" si="26"/>
        <v>0.40989898022928584</v>
      </c>
      <c r="AL31" s="59">
        <f t="shared" si="27"/>
        <v>0.45798778348725122</v>
      </c>
      <c r="AM31" s="65">
        <f t="shared" si="12"/>
        <v>2.5444182217334701</v>
      </c>
      <c r="AO31" s="58"/>
      <c r="AP31" s="59">
        <f t="shared" si="13"/>
        <v>0</v>
      </c>
      <c r="AQ31" s="59">
        <f t="shared" si="14"/>
        <v>-1</v>
      </c>
      <c r="AR31" s="59">
        <f t="shared" si="15"/>
        <v>0</v>
      </c>
      <c r="AS31" s="59">
        <f t="shared" si="16"/>
        <v>0</v>
      </c>
      <c r="AT31" s="59">
        <f t="shared" si="17"/>
        <v>0</v>
      </c>
      <c r="AU31" s="59">
        <f t="shared" si="18"/>
        <v>0.89566208773530387</v>
      </c>
      <c r="AV31" s="59">
        <f t="shared" si="19"/>
        <v>-0.76968432238823947</v>
      </c>
      <c r="AW31" s="59">
        <f t="shared" si="20"/>
        <v>14.299780656406599</v>
      </c>
      <c r="AX31" s="59">
        <f t="shared" si="21"/>
        <v>0.30946315615239706</v>
      </c>
      <c r="AY31" s="59">
        <f t="shared" si="22"/>
        <v>0.42939978773259924</v>
      </c>
      <c r="AZ31" s="65">
        <f t="shared" si="23"/>
        <v>1.4164621365638659</v>
      </c>
    </row>
    <row r="32" spans="1:52" ht="38.25">
      <c r="A32" s="515" t="s">
        <v>16</v>
      </c>
      <c r="B32" s="495">
        <v>4858985</v>
      </c>
      <c r="C32" s="496">
        <v>2435505</v>
      </c>
      <c r="D32" s="496">
        <v>528639</v>
      </c>
      <c r="E32" s="496">
        <v>1799074</v>
      </c>
      <c r="F32" s="496">
        <v>3911787</v>
      </c>
      <c r="G32" s="496">
        <v>4661827</v>
      </c>
      <c r="H32" s="496">
        <v>11863836</v>
      </c>
      <c r="I32" s="496">
        <v>31284598</v>
      </c>
      <c r="J32" s="496">
        <v>16438667</v>
      </c>
      <c r="K32" s="496">
        <v>28675618</v>
      </c>
      <c r="L32" s="497">
        <v>38591997</v>
      </c>
      <c r="M32" s="463"/>
      <c r="O32" s="58">
        <f t="shared" si="1"/>
        <v>0.12149006031216265</v>
      </c>
      <c r="P32" s="59">
        <f t="shared" si="2"/>
        <v>0.11988295745800413</v>
      </c>
      <c r="Q32" s="59">
        <f t="shared" si="3"/>
        <v>5.2667508128938001E-2</v>
      </c>
      <c r="R32" s="59">
        <f t="shared" si="4"/>
        <v>0.11542170752431327</v>
      </c>
      <c r="S32" s="59">
        <f t="shared" si="5"/>
        <v>0.17405680834781329</v>
      </c>
      <c r="T32" s="59">
        <f t="shared" si="6"/>
        <v>0.18993425961024793</v>
      </c>
      <c r="U32" s="59">
        <f t="shared" si="7"/>
        <v>0.25293494079718332</v>
      </c>
      <c r="V32" s="59">
        <f t="shared" si="8"/>
        <v>0.24844619861988568</v>
      </c>
      <c r="W32" s="59">
        <f t="shared" si="9"/>
        <v>0.25323616307229579</v>
      </c>
      <c r="X32" s="59">
        <f t="shared" si="10"/>
        <v>0.28220640043706557</v>
      </c>
      <c r="Y32" s="60">
        <f t="shared" si="11"/>
        <v>0.24383838419450996</v>
      </c>
      <c r="Z32" s="60">
        <f t="shared" si="24"/>
        <v>0.18673776259112904</v>
      </c>
      <c r="AB32" s="68"/>
      <c r="AC32" s="59">
        <f t="shared" si="25"/>
        <v>-0.49876260165446074</v>
      </c>
      <c r="AD32" s="59">
        <f t="shared" si="25"/>
        <v>-0.78294481021389817</v>
      </c>
      <c r="AE32" s="59">
        <f t="shared" si="25"/>
        <v>2.4032184534247381</v>
      </c>
      <c r="AF32" s="59">
        <f t="shared" si="25"/>
        <v>1.1743335738274245</v>
      </c>
      <c r="AG32" s="59">
        <f t="shared" si="25"/>
        <v>0.19173845610714491</v>
      </c>
      <c r="AH32" s="59">
        <f t="shared" si="26"/>
        <v>1.5448898039330934</v>
      </c>
      <c r="AI32" s="59">
        <f t="shared" si="26"/>
        <v>1.636971549505573</v>
      </c>
      <c r="AJ32" s="59">
        <f t="shared" si="26"/>
        <v>-0.47454440680362908</v>
      </c>
      <c r="AK32" s="59">
        <f t="shared" si="26"/>
        <v>0.74440044317461984</v>
      </c>
      <c r="AL32" s="59">
        <f t="shared" si="27"/>
        <v>0.34581221579949917</v>
      </c>
      <c r="AM32" s="65">
        <f t="shared" si="12"/>
        <v>0.62851126771001053</v>
      </c>
      <c r="AO32" s="58"/>
      <c r="AP32" s="59">
        <f t="shared" si="13"/>
        <v>-0.53909204749835471</v>
      </c>
      <c r="AQ32" s="59">
        <f t="shared" si="14"/>
        <v>-0.7983695403751957</v>
      </c>
      <c r="AR32" s="59">
        <f t="shared" si="15"/>
        <v>2.1808752719176914</v>
      </c>
      <c r="AS32" s="59">
        <f t="shared" si="16"/>
        <v>1.0418194889918535</v>
      </c>
      <c r="AT32" s="59">
        <f t="shared" si="17"/>
        <v>0.12963643709761707</v>
      </c>
      <c r="AU32" s="59">
        <f t="shared" si="18"/>
        <v>1.4271122848577789</v>
      </c>
      <c r="AV32" s="59">
        <f t="shared" si="19"/>
        <v>1.5239007939371874</v>
      </c>
      <c r="AW32" s="59">
        <f t="shared" si="20"/>
        <v>-0.5028331978461813</v>
      </c>
      <c r="AX32" s="59">
        <f t="shared" si="21"/>
        <v>0.62013601112159367</v>
      </c>
      <c r="AY32" s="59">
        <f t="shared" si="22"/>
        <v>0.31942374097990123</v>
      </c>
      <c r="AZ32" s="65">
        <f t="shared" si="23"/>
        <v>0.54026092431838912</v>
      </c>
    </row>
    <row r="33" spans="1:52" ht="51">
      <c r="A33" s="515" t="s">
        <v>17</v>
      </c>
      <c r="B33" s="495"/>
      <c r="C33" s="496">
        <v>5067</v>
      </c>
      <c r="D33" s="496"/>
      <c r="E33" s="496"/>
      <c r="F33" s="496">
        <v>1227</v>
      </c>
      <c r="G33" s="496">
        <v>22944</v>
      </c>
      <c r="H33" s="496">
        <v>885</v>
      </c>
      <c r="I33" s="496"/>
      <c r="J33" s="496"/>
      <c r="K33" s="496">
        <v>2057</v>
      </c>
      <c r="L33" s="497">
        <v>180854</v>
      </c>
      <c r="M33" s="463"/>
      <c r="O33" s="58">
        <f t="shared" si="1"/>
        <v>0</v>
      </c>
      <c r="P33" s="59">
        <f t="shared" si="2"/>
        <v>2.4941313831821613E-4</v>
      </c>
      <c r="Q33" s="59">
        <f t="shared" si="3"/>
        <v>0</v>
      </c>
      <c r="R33" s="59">
        <f t="shared" si="4"/>
        <v>0</v>
      </c>
      <c r="S33" s="59">
        <f t="shared" si="5"/>
        <v>5.4595943961868803E-5</v>
      </c>
      <c r="T33" s="59">
        <f t="shared" si="6"/>
        <v>9.347948030884734E-4</v>
      </c>
      <c r="U33" s="59">
        <f t="shared" si="7"/>
        <v>1.8868047620137976E-5</v>
      </c>
      <c r="V33" s="59">
        <f t="shared" si="8"/>
        <v>0</v>
      </c>
      <c r="W33" s="59">
        <f t="shared" si="9"/>
        <v>0</v>
      </c>
      <c r="X33" s="59">
        <f t="shared" si="10"/>
        <v>2.024362877546506E-5</v>
      </c>
      <c r="Y33" s="60">
        <f t="shared" si="11"/>
        <v>1.1427018699010031E-3</v>
      </c>
      <c r="Z33" s="60">
        <f t="shared" si="24"/>
        <v>2.2005613015137857E-4</v>
      </c>
      <c r="AB33" s="68"/>
      <c r="AC33" s="59" t="str">
        <f t="shared" si="25"/>
        <v/>
      </c>
      <c r="AD33" s="59">
        <f t="shared" si="25"/>
        <v>-1</v>
      </c>
      <c r="AE33" s="59" t="str">
        <f t="shared" si="25"/>
        <v/>
      </c>
      <c r="AF33" s="59" t="str">
        <f t="shared" si="25"/>
        <v/>
      </c>
      <c r="AG33" s="59">
        <f t="shared" si="25"/>
        <v>17.699266503667481</v>
      </c>
      <c r="AH33" s="59">
        <f t="shared" si="26"/>
        <v>-0.96142782426778239</v>
      </c>
      <c r="AI33" s="59">
        <f t="shared" si="26"/>
        <v>-1</v>
      </c>
      <c r="AJ33" s="59" t="str">
        <f t="shared" si="26"/>
        <v/>
      </c>
      <c r="AK33" s="59" t="str">
        <f t="shared" si="26"/>
        <v/>
      </c>
      <c r="AL33" s="59">
        <f t="shared" si="27"/>
        <v>86.921244530870197</v>
      </c>
      <c r="AM33" s="65">
        <f t="shared" si="12"/>
        <v>20.33181664205398</v>
      </c>
      <c r="AO33" s="58"/>
      <c r="AP33" s="59">
        <f t="shared" si="13"/>
        <v>0</v>
      </c>
      <c r="AQ33" s="59">
        <f t="shared" si="14"/>
        <v>-1</v>
      </c>
      <c r="AR33" s="59">
        <f t="shared" si="15"/>
        <v>0</v>
      </c>
      <c r="AS33" s="59">
        <f t="shared" si="16"/>
        <v>0</v>
      </c>
      <c r="AT33" s="59">
        <f t="shared" si="17"/>
        <v>16.724839440477552</v>
      </c>
      <c r="AU33" s="59">
        <f t="shared" si="18"/>
        <v>-0.96321294484787845</v>
      </c>
      <c r="AV33" s="59">
        <f t="shared" si="19"/>
        <v>-1</v>
      </c>
      <c r="AW33" s="59">
        <f t="shared" si="20"/>
        <v>0</v>
      </c>
      <c r="AX33" s="59">
        <f t="shared" si="21"/>
        <v>0</v>
      </c>
      <c r="AY33" s="59">
        <f t="shared" si="22"/>
        <v>85.197298559676668</v>
      </c>
      <c r="AZ33" s="65">
        <f t="shared" si="23"/>
        <v>9.8958925055306342</v>
      </c>
    </row>
    <row r="34" spans="1:52" ht="25.5">
      <c r="A34" s="515" t="s">
        <v>108</v>
      </c>
      <c r="B34" s="495"/>
      <c r="C34" s="496">
        <v>1685</v>
      </c>
      <c r="D34" s="496"/>
      <c r="E34" s="496"/>
      <c r="F34" s="496"/>
      <c r="G34" s="496"/>
      <c r="H34" s="496">
        <v>37</v>
      </c>
      <c r="I34" s="496"/>
      <c r="J34" s="496"/>
      <c r="K34" s="496"/>
      <c r="L34" s="497"/>
      <c r="M34" s="463"/>
      <c r="O34" s="58">
        <f t="shared" si="1"/>
        <v>0</v>
      </c>
      <c r="P34" s="59">
        <f t="shared" si="2"/>
        <v>8.2940820616971418E-5</v>
      </c>
      <c r="Q34" s="59">
        <f t="shared" si="3"/>
        <v>0</v>
      </c>
      <c r="R34" s="59">
        <f t="shared" si="4"/>
        <v>0</v>
      </c>
      <c r="S34" s="59">
        <f t="shared" si="5"/>
        <v>0</v>
      </c>
      <c r="T34" s="59">
        <f t="shared" si="6"/>
        <v>0</v>
      </c>
      <c r="U34" s="59">
        <f t="shared" si="7"/>
        <v>7.8883362931650295E-7</v>
      </c>
      <c r="V34" s="59">
        <f t="shared" si="8"/>
        <v>0</v>
      </c>
      <c r="W34" s="59">
        <f t="shared" si="9"/>
        <v>0</v>
      </c>
      <c r="X34" s="59">
        <f t="shared" si="10"/>
        <v>0</v>
      </c>
      <c r="Y34" s="60">
        <f t="shared" si="11"/>
        <v>0</v>
      </c>
      <c r="Z34" s="60">
        <f t="shared" si="24"/>
        <v>7.611786749662538E-6</v>
      </c>
      <c r="AB34" s="68"/>
      <c r="AC34" s="59" t="str">
        <f t="shared" si="25"/>
        <v/>
      </c>
      <c r="AD34" s="59">
        <f t="shared" si="25"/>
        <v>-1</v>
      </c>
      <c r="AE34" s="59" t="str">
        <f t="shared" si="25"/>
        <v/>
      </c>
      <c r="AF34" s="59" t="str">
        <f t="shared" si="25"/>
        <v/>
      </c>
      <c r="AG34" s="59" t="str">
        <f t="shared" si="25"/>
        <v/>
      </c>
      <c r="AH34" s="59" t="str">
        <f t="shared" si="26"/>
        <v/>
      </c>
      <c r="AI34" s="59">
        <f t="shared" si="26"/>
        <v>-1</v>
      </c>
      <c r="AJ34" s="59" t="str">
        <f t="shared" si="26"/>
        <v/>
      </c>
      <c r="AK34" s="59" t="str">
        <f t="shared" si="26"/>
        <v/>
      </c>
      <c r="AL34" s="59" t="str">
        <f t="shared" si="27"/>
        <v/>
      </c>
      <c r="AM34" s="65">
        <f t="shared" si="12"/>
        <v>-1</v>
      </c>
      <c r="AO34" s="58"/>
      <c r="AP34" s="59">
        <f t="shared" si="13"/>
        <v>0</v>
      </c>
      <c r="AQ34" s="59">
        <f t="shared" si="14"/>
        <v>-1</v>
      </c>
      <c r="AR34" s="59">
        <f t="shared" si="15"/>
        <v>0</v>
      </c>
      <c r="AS34" s="59">
        <f t="shared" si="16"/>
        <v>0</v>
      </c>
      <c r="AT34" s="59">
        <f t="shared" si="17"/>
        <v>0</v>
      </c>
      <c r="AU34" s="59">
        <f t="shared" si="18"/>
        <v>0</v>
      </c>
      <c r="AV34" s="59">
        <f t="shared" si="19"/>
        <v>-1</v>
      </c>
      <c r="AW34" s="59">
        <f t="shared" si="20"/>
        <v>0</v>
      </c>
      <c r="AX34" s="59">
        <f t="shared" si="21"/>
        <v>0</v>
      </c>
      <c r="AY34" s="59">
        <f t="shared" si="22"/>
        <v>0</v>
      </c>
      <c r="AZ34" s="65">
        <f t="shared" si="23"/>
        <v>-0.2</v>
      </c>
    </row>
    <row r="35" spans="1:52" ht="38.25">
      <c r="A35" s="515" t="s">
        <v>109</v>
      </c>
      <c r="B35" s="495">
        <v>228710</v>
      </c>
      <c r="C35" s="496">
        <v>205527</v>
      </c>
      <c r="D35" s="496">
        <v>219127</v>
      </c>
      <c r="E35" s="496">
        <v>262516</v>
      </c>
      <c r="F35" s="496">
        <v>239393</v>
      </c>
      <c r="G35" s="496">
        <v>48355</v>
      </c>
      <c r="H35" s="496">
        <v>319932</v>
      </c>
      <c r="I35" s="496">
        <v>150172</v>
      </c>
      <c r="J35" s="496">
        <v>913066</v>
      </c>
      <c r="K35" s="496">
        <v>951177</v>
      </c>
      <c r="L35" s="497">
        <v>2297844</v>
      </c>
      <c r="M35" s="463"/>
      <c r="O35" s="58">
        <f t="shared" si="1"/>
        <v>5.7184765324434471E-3</v>
      </c>
      <c r="P35" s="59">
        <f t="shared" si="2"/>
        <v>1.0116663524596014E-2</v>
      </c>
      <c r="Q35" s="59">
        <f t="shared" si="3"/>
        <v>2.1831293290449243E-2</v>
      </c>
      <c r="R35" s="59">
        <f t="shared" si="4"/>
        <v>1.6842022602990551E-2</v>
      </c>
      <c r="S35" s="59">
        <f t="shared" si="5"/>
        <v>1.0651904492961417E-2</v>
      </c>
      <c r="T35" s="59">
        <f t="shared" si="6"/>
        <v>1.9701012335836439E-3</v>
      </c>
      <c r="U35" s="59">
        <f t="shared" si="7"/>
        <v>6.8208951539050653E-3</v>
      </c>
      <c r="V35" s="59">
        <f t="shared" si="8"/>
        <v>1.1925888432111377E-3</v>
      </c>
      <c r="W35" s="59">
        <f t="shared" si="9"/>
        <v>1.4065698299732506E-2</v>
      </c>
      <c r="X35" s="59">
        <f t="shared" si="10"/>
        <v>9.3608527407683662E-3</v>
      </c>
      <c r="Y35" s="60">
        <f t="shared" si="11"/>
        <v>1.4518620741265333E-2</v>
      </c>
      <c r="Z35" s="60">
        <f t="shared" si="24"/>
        <v>1.0280828859627883E-2</v>
      </c>
      <c r="AB35" s="68"/>
      <c r="AC35" s="59">
        <f t="shared" si="25"/>
        <v>-0.10136417297013689</v>
      </c>
      <c r="AD35" s="59">
        <f t="shared" si="25"/>
        <v>6.6171354615208733E-2</v>
      </c>
      <c r="AE35" s="59">
        <f t="shared" si="25"/>
        <v>0.19800846084690615</v>
      </c>
      <c r="AF35" s="59">
        <f t="shared" si="25"/>
        <v>-8.8082250224748249E-2</v>
      </c>
      <c r="AG35" s="59">
        <f t="shared" si="25"/>
        <v>-0.7980099668745535</v>
      </c>
      <c r="AH35" s="59">
        <f t="shared" si="26"/>
        <v>5.6163168234929168</v>
      </c>
      <c r="AI35" s="59">
        <f t="shared" si="26"/>
        <v>-0.53061275521048223</v>
      </c>
      <c r="AJ35" s="59">
        <f t="shared" si="26"/>
        <v>5.0801347787869906</v>
      </c>
      <c r="AK35" s="59">
        <f t="shared" si="26"/>
        <v>4.1739589471078808E-2</v>
      </c>
      <c r="AL35" s="59">
        <f t="shared" si="27"/>
        <v>1.4157901210815651</v>
      </c>
      <c r="AM35" s="65">
        <f t="shared" si="12"/>
        <v>1.0900091983014746</v>
      </c>
      <c r="AO35" s="58"/>
      <c r="AP35" s="59">
        <f t="shared" si="13"/>
        <v>-0.1736682050300109</v>
      </c>
      <c r="AQ35" s="59">
        <f t="shared" si="14"/>
        <v>-9.5946543286495878E-3</v>
      </c>
      <c r="AR35" s="59">
        <f t="shared" si="15"/>
        <v>0.11973872403673802</v>
      </c>
      <c r="AS35" s="59">
        <f t="shared" si="16"/>
        <v>-0.14365879446403251</v>
      </c>
      <c r="AT35" s="59">
        <f t="shared" si="17"/>
        <v>-0.80853575700292357</v>
      </c>
      <c r="AU35" s="59">
        <f t="shared" si="18"/>
        <v>5.3101136316364617</v>
      </c>
      <c r="AV35" s="59">
        <f t="shared" si="19"/>
        <v>-0.55073962022442791</v>
      </c>
      <c r="AW35" s="59">
        <f t="shared" si="20"/>
        <v>4.7528004340874173</v>
      </c>
      <c r="AX35" s="59">
        <f t="shared" si="21"/>
        <v>-3.2469964269454032E-2</v>
      </c>
      <c r="AY35" s="59">
        <f t="shared" si="22"/>
        <v>1.3684216873348678</v>
      </c>
      <c r="AZ35" s="65">
        <f t="shared" si="23"/>
        <v>0.98324074817759866</v>
      </c>
    </row>
    <row r="36" spans="1:52" ht="25.5">
      <c r="A36" s="515" t="s">
        <v>110</v>
      </c>
      <c r="B36" s="495">
        <v>2813</v>
      </c>
      <c r="C36" s="496">
        <v>86101</v>
      </c>
      <c r="D36" s="496"/>
      <c r="E36" s="496"/>
      <c r="F36" s="496"/>
      <c r="G36" s="496"/>
      <c r="H36" s="496"/>
      <c r="I36" s="496"/>
      <c r="J36" s="496"/>
      <c r="K36" s="496">
        <v>151100</v>
      </c>
      <c r="L36" s="497">
        <v>381921</v>
      </c>
      <c r="M36" s="463"/>
      <c r="O36" s="58">
        <f t="shared" si="1"/>
        <v>7.0333935926559471E-5</v>
      </c>
      <c r="P36" s="59">
        <f t="shared" si="2"/>
        <v>4.2381528759298844E-3</v>
      </c>
      <c r="Q36" s="59">
        <f t="shared" si="3"/>
        <v>0</v>
      </c>
      <c r="R36" s="59">
        <f t="shared" si="4"/>
        <v>0</v>
      </c>
      <c r="S36" s="59">
        <f t="shared" si="5"/>
        <v>0</v>
      </c>
      <c r="T36" s="59">
        <f t="shared" si="6"/>
        <v>0</v>
      </c>
      <c r="U36" s="59">
        <f t="shared" si="7"/>
        <v>0</v>
      </c>
      <c r="V36" s="59">
        <f t="shared" si="8"/>
        <v>0</v>
      </c>
      <c r="W36" s="59">
        <f t="shared" si="9"/>
        <v>0</v>
      </c>
      <c r="X36" s="59">
        <f t="shared" si="10"/>
        <v>1.487025915397555E-3</v>
      </c>
      <c r="Y36" s="60">
        <f t="shared" si="11"/>
        <v>2.4131168835329108E-3</v>
      </c>
      <c r="Z36" s="60">
        <f t="shared" si="24"/>
        <v>7.4623905552608264E-4</v>
      </c>
      <c r="AB36" s="68"/>
      <c r="AC36" s="59">
        <f t="shared" si="25"/>
        <v>29.608247422680414</v>
      </c>
      <c r="AD36" s="59">
        <f t="shared" si="25"/>
        <v>-1</v>
      </c>
      <c r="AE36" s="59" t="str">
        <f t="shared" si="25"/>
        <v/>
      </c>
      <c r="AF36" s="59" t="str">
        <f t="shared" si="25"/>
        <v/>
      </c>
      <c r="AG36" s="59" t="str">
        <f t="shared" si="25"/>
        <v/>
      </c>
      <c r="AH36" s="59" t="str">
        <f t="shared" si="26"/>
        <v/>
      </c>
      <c r="AI36" s="59" t="str">
        <f t="shared" si="26"/>
        <v/>
      </c>
      <c r="AJ36" s="59" t="str">
        <f t="shared" si="26"/>
        <v/>
      </c>
      <c r="AK36" s="59" t="str">
        <f t="shared" si="26"/>
        <v/>
      </c>
      <c r="AL36" s="59">
        <f t="shared" si="27"/>
        <v>1.5276042356055592</v>
      </c>
      <c r="AM36" s="65">
        <f t="shared" si="12"/>
        <v>10.045283886095325</v>
      </c>
      <c r="AO36" s="58"/>
      <c r="AP36" s="59">
        <f t="shared" si="13"/>
        <v>27.145514871430269</v>
      </c>
      <c r="AQ36" s="59">
        <f t="shared" si="14"/>
        <v>-1</v>
      </c>
      <c r="AR36" s="59">
        <f t="shared" si="15"/>
        <v>0</v>
      </c>
      <c r="AS36" s="59">
        <f t="shared" si="16"/>
        <v>0</v>
      </c>
      <c r="AT36" s="59">
        <f t="shared" si="17"/>
        <v>0</v>
      </c>
      <c r="AU36" s="59">
        <f t="shared" si="18"/>
        <v>0</v>
      </c>
      <c r="AV36" s="59">
        <f t="shared" si="19"/>
        <v>0</v>
      </c>
      <c r="AW36" s="59">
        <f t="shared" si="20"/>
        <v>0</v>
      </c>
      <c r="AX36" s="59">
        <f t="shared" si="21"/>
        <v>0</v>
      </c>
      <c r="AY36" s="59">
        <f t="shared" si="22"/>
        <v>1.4780433682407441</v>
      </c>
      <c r="AZ36" s="65">
        <f t="shared" si="23"/>
        <v>2.7623558239671011</v>
      </c>
    </row>
    <row r="37" spans="1:52" ht="25.5">
      <c r="A37" s="515" t="s">
        <v>18</v>
      </c>
      <c r="B37" s="495">
        <v>5515255</v>
      </c>
      <c r="C37" s="496">
        <v>3335978</v>
      </c>
      <c r="D37" s="496">
        <v>747766</v>
      </c>
      <c r="E37" s="496">
        <v>2064056</v>
      </c>
      <c r="F37" s="496">
        <v>4152407</v>
      </c>
      <c r="G37" s="496">
        <v>5056191</v>
      </c>
      <c r="H37" s="496">
        <v>13079989</v>
      </c>
      <c r="I37" s="496">
        <v>32486004</v>
      </c>
      <c r="J37" s="496">
        <v>20440417</v>
      </c>
      <c r="K37" s="496">
        <v>32114832</v>
      </c>
      <c r="L37" s="497">
        <v>46853654</v>
      </c>
      <c r="M37" s="463"/>
      <c r="O37" s="58">
        <f t="shared" si="1"/>
        <v>0.13789889505461669</v>
      </c>
      <c r="P37" s="59">
        <f t="shared" si="2"/>
        <v>0.16420697500306414</v>
      </c>
      <c r="Q37" s="59">
        <f t="shared" si="3"/>
        <v>7.4498801419387251E-2</v>
      </c>
      <c r="R37" s="59">
        <f t="shared" si="4"/>
        <v>0.13242193925641965</v>
      </c>
      <c r="S37" s="59">
        <f t="shared" si="5"/>
        <v>0.18476330878473657</v>
      </c>
      <c r="T37" s="59">
        <f t="shared" si="6"/>
        <v>0.20600161568264955</v>
      </c>
      <c r="U37" s="59">
        <f t="shared" si="7"/>
        <v>0.27886311335918745</v>
      </c>
      <c r="V37" s="59">
        <f t="shared" si="8"/>
        <v>0.25798714761015629</v>
      </c>
      <c r="W37" s="59">
        <f t="shared" si="9"/>
        <v>0.31488275616737826</v>
      </c>
      <c r="X37" s="59">
        <f t="shared" si="10"/>
        <v>0.31605286202937588</v>
      </c>
      <c r="Y37" s="60">
        <f t="shared" si="11"/>
        <v>0.29603856169890969</v>
      </c>
      <c r="Z37" s="60">
        <f t="shared" si="24"/>
        <v>0.21487417964235289</v>
      </c>
      <c r="AB37" s="68"/>
      <c r="AC37" s="59">
        <f t="shared" si="25"/>
        <v>-0.39513621763635587</v>
      </c>
      <c r="AD37" s="59">
        <f t="shared" si="25"/>
        <v>-0.77584804216334757</v>
      </c>
      <c r="AE37" s="59">
        <f t="shared" si="25"/>
        <v>1.7602966703487453</v>
      </c>
      <c r="AF37" s="59">
        <f t="shared" si="25"/>
        <v>1.0117705139783029</v>
      </c>
      <c r="AG37" s="59">
        <f t="shared" si="25"/>
        <v>0.21765303834619298</v>
      </c>
      <c r="AH37" s="59">
        <f t="shared" si="26"/>
        <v>1.5869254148033569</v>
      </c>
      <c r="AI37" s="59">
        <f t="shared" si="26"/>
        <v>1.4836415382306516</v>
      </c>
      <c r="AJ37" s="59">
        <f t="shared" si="26"/>
        <v>-0.37079312678776988</v>
      </c>
      <c r="AK37" s="59">
        <f t="shared" si="26"/>
        <v>0.57114368067931287</v>
      </c>
      <c r="AL37" s="59">
        <f t="shared" si="27"/>
        <v>0.45894127672845997</v>
      </c>
      <c r="AM37" s="65">
        <f t="shared" si="12"/>
        <v>0.55485947465275498</v>
      </c>
      <c r="AO37" s="58"/>
      <c r="AP37" s="59">
        <f t="shared" si="13"/>
        <v>-0.44380341851618921</v>
      </c>
      <c r="AQ37" s="59">
        <f t="shared" si="14"/>
        <v>-0.79177709443878086</v>
      </c>
      <c r="AR37" s="59">
        <f t="shared" si="15"/>
        <v>1.5799576318803115</v>
      </c>
      <c r="AS37" s="59">
        <f t="shared" si="16"/>
        <v>0.88916378437252597</v>
      </c>
      <c r="AT37" s="59">
        <f t="shared" si="17"/>
        <v>0.15420059897338323</v>
      </c>
      <c r="AU37" s="59">
        <f t="shared" si="18"/>
        <v>1.4672024873439691</v>
      </c>
      <c r="AV37" s="59">
        <f t="shared" si="19"/>
        <v>1.3771454232682347</v>
      </c>
      <c r="AW37" s="59">
        <f t="shared" si="20"/>
        <v>-0.40466754355924861</v>
      </c>
      <c r="AX37" s="59">
        <f t="shared" si="21"/>
        <v>0.45922139934922712</v>
      </c>
      <c r="AY37" s="59">
        <f t="shared" si="22"/>
        <v>0.43033458502790189</v>
      </c>
      <c r="AZ37" s="65">
        <f t="shared" si="23"/>
        <v>0.47169778537013346</v>
      </c>
    </row>
    <row r="38" spans="1:52" ht="38.25">
      <c r="A38" s="515" t="s">
        <v>19</v>
      </c>
      <c r="B38" s="495">
        <v>48315</v>
      </c>
      <c r="C38" s="496">
        <v>42777</v>
      </c>
      <c r="D38" s="496"/>
      <c r="E38" s="496">
        <v>18837</v>
      </c>
      <c r="F38" s="496">
        <v>22955</v>
      </c>
      <c r="G38" s="496">
        <v>27405</v>
      </c>
      <c r="H38" s="496">
        <v>92694</v>
      </c>
      <c r="I38" s="496">
        <v>84103</v>
      </c>
      <c r="J38" s="496">
        <v>783079</v>
      </c>
      <c r="K38" s="496">
        <v>671428</v>
      </c>
      <c r="L38" s="497">
        <v>1066505</v>
      </c>
      <c r="M38" s="463"/>
      <c r="O38" s="58">
        <f t="shared" si="1"/>
        <v>1.2080284800183862E-3</v>
      </c>
      <c r="P38" s="59">
        <f t="shared" si="2"/>
        <v>2.1056139368143536E-3</v>
      </c>
      <c r="Q38" s="59">
        <f t="shared" si="3"/>
        <v>0</v>
      </c>
      <c r="R38" s="59">
        <f t="shared" si="4"/>
        <v>1.2085098804359849E-3</v>
      </c>
      <c r="S38" s="59">
        <f t="shared" si="5"/>
        <v>1.0213935563526475E-3</v>
      </c>
      <c r="T38" s="59">
        <f t="shared" si="6"/>
        <v>1.1165468784274588E-3</v>
      </c>
      <c r="U38" s="59">
        <f t="shared" si="7"/>
        <v>1.9762201198882143E-3</v>
      </c>
      <c r="V38" s="59">
        <f t="shared" si="8"/>
        <v>6.6790280132505596E-4</v>
      </c>
      <c r="W38" s="59">
        <f t="shared" si="9"/>
        <v>1.2063260442132585E-2</v>
      </c>
      <c r="X38" s="59">
        <f t="shared" si="10"/>
        <v>6.6077487513140276E-3</v>
      </c>
      <c r="Y38" s="60">
        <f t="shared" si="11"/>
        <v>6.7385695520075272E-3</v>
      </c>
      <c r="Z38" s="60">
        <f t="shared" si="24"/>
        <v>3.1557994907923863E-3</v>
      </c>
      <c r="AB38" s="68"/>
      <c r="AC38" s="59">
        <f t="shared" si="25"/>
        <v>-0.11462278795405156</v>
      </c>
      <c r="AD38" s="59">
        <f t="shared" si="25"/>
        <v>-1</v>
      </c>
      <c r="AE38" s="59" t="str">
        <f t="shared" si="25"/>
        <v/>
      </c>
      <c r="AF38" s="59">
        <f t="shared" si="25"/>
        <v>0.21861230556882738</v>
      </c>
      <c r="AG38" s="59">
        <f t="shared" si="25"/>
        <v>0.19385754737529948</v>
      </c>
      <c r="AH38" s="59">
        <f t="shared" si="26"/>
        <v>2.3823754789272029</v>
      </c>
      <c r="AI38" s="59">
        <f t="shared" si="26"/>
        <v>-9.2681295445228407E-2</v>
      </c>
      <c r="AJ38" s="59">
        <f t="shared" si="26"/>
        <v>8.3109520468948794</v>
      </c>
      <c r="AK38" s="59">
        <f t="shared" si="26"/>
        <v>-0.1425794843176742</v>
      </c>
      <c r="AL38" s="59">
        <f t="shared" si="27"/>
        <v>0.58841305396855659</v>
      </c>
      <c r="AM38" s="65">
        <f t="shared" si="12"/>
        <v>1.1493696516686458</v>
      </c>
      <c r="AO38" s="58"/>
      <c r="AP38" s="59">
        <f t="shared" si="13"/>
        <v>-0.18586003490027725</v>
      </c>
      <c r="AQ38" s="59">
        <f t="shared" si="14"/>
        <v>-1</v>
      </c>
      <c r="AR38" s="59">
        <f t="shared" si="15"/>
        <v>0</v>
      </c>
      <c r="AS38" s="59">
        <f t="shared" si="16"/>
        <v>0.14434435681174507</v>
      </c>
      <c r="AT38" s="59">
        <f t="shared" si="17"/>
        <v>0.13164510158081444</v>
      </c>
      <c r="AU38" s="59">
        <f t="shared" si="18"/>
        <v>2.2258391165772293</v>
      </c>
      <c r="AV38" s="59">
        <f t="shared" si="19"/>
        <v>-0.13158623224083876</v>
      </c>
      <c r="AW38" s="59">
        <f t="shared" si="20"/>
        <v>7.8096811873354905</v>
      </c>
      <c r="AX38" s="59">
        <f t="shared" si="21"/>
        <v>-0.20365885048544086</v>
      </c>
      <c r="AY38" s="59">
        <f t="shared" si="22"/>
        <v>0.55726769996917302</v>
      </c>
      <c r="AZ38" s="65">
        <f t="shared" si="23"/>
        <v>0.93476723446478949</v>
      </c>
    </row>
    <row r="39" spans="1:52" ht="25.5">
      <c r="A39" s="515" t="s">
        <v>20</v>
      </c>
      <c r="B39" s="495">
        <v>3</v>
      </c>
      <c r="C39" s="496"/>
      <c r="D39" s="496"/>
      <c r="E39" s="496">
        <v>1095</v>
      </c>
      <c r="F39" s="496">
        <v>20686</v>
      </c>
      <c r="G39" s="496">
        <v>63</v>
      </c>
      <c r="H39" s="496">
        <v>1158124</v>
      </c>
      <c r="I39" s="496">
        <v>334015</v>
      </c>
      <c r="J39" s="496">
        <v>431823</v>
      </c>
      <c r="K39" s="496">
        <v>438870</v>
      </c>
      <c r="L39" s="497">
        <v>1399193</v>
      </c>
      <c r="M39" s="463"/>
      <c r="O39" s="58">
        <f t="shared" si="1"/>
        <v>7.5009529960781511E-8</v>
      </c>
      <c r="P39" s="59">
        <f t="shared" si="2"/>
        <v>0</v>
      </c>
      <c r="Q39" s="59">
        <f t="shared" si="3"/>
        <v>0</v>
      </c>
      <c r="R39" s="59">
        <f t="shared" si="4"/>
        <v>7.0251012320295339E-5</v>
      </c>
      <c r="S39" s="59">
        <f t="shared" si="5"/>
        <v>9.2043333072144916E-4</v>
      </c>
      <c r="T39" s="59">
        <f t="shared" si="6"/>
        <v>2.5667744331665716E-6</v>
      </c>
      <c r="U39" s="59">
        <f t="shared" si="7"/>
        <v>2.4691004273474208E-2</v>
      </c>
      <c r="V39" s="59">
        <f t="shared" si="8"/>
        <v>2.6525754632366096E-3</v>
      </c>
      <c r="W39" s="59">
        <f t="shared" si="9"/>
        <v>6.6521938577116992E-3</v>
      </c>
      <c r="X39" s="59">
        <f t="shared" si="10"/>
        <v>4.319067263339014E-3</v>
      </c>
      <c r="Y39" s="60">
        <f t="shared" si="11"/>
        <v>8.840614293587061E-3</v>
      </c>
      <c r="Z39" s="60">
        <f t="shared" si="24"/>
        <v>4.3771619343957692E-3</v>
      </c>
      <c r="AB39" s="68"/>
      <c r="AC39" s="59">
        <f t="shared" si="25"/>
        <v>-1</v>
      </c>
      <c r="AD39" s="59" t="str">
        <f t="shared" si="25"/>
        <v/>
      </c>
      <c r="AE39" s="59" t="str">
        <f t="shared" si="25"/>
        <v/>
      </c>
      <c r="AF39" s="59">
        <f t="shared" si="25"/>
        <v>17.891324200913242</v>
      </c>
      <c r="AG39" s="59">
        <f t="shared" si="25"/>
        <v>-0.99695446195494541</v>
      </c>
      <c r="AH39" s="59">
        <f>+IF(G39=0,"",H39/G39-1)</f>
        <v>18381.920634920636</v>
      </c>
      <c r="AI39" s="59">
        <f t="shared" si="26"/>
        <v>-0.71158960525815895</v>
      </c>
      <c r="AJ39" s="59">
        <f t="shared" si="26"/>
        <v>0.2928251725221922</v>
      </c>
      <c r="AK39" s="59">
        <f t="shared" si="26"/>
        <v>1.6319186333289437E-2</v>
      </c>
      <c r="AL39" s="59">
        <f t="shared" si="27"/>
        <v>2.1881718960056511</v>
      </c>
      <c r="AM39" s="65">
        <f t="shared" si="12"/>
        <v>2299.9500914136497</v>
      </c>
      <c r="AO39" s="58"/>
      <c r="AP39" s="59">
        <f t="shared" si="13"/>
        <v>-1</v>
      </c>
      <c r="AQ39" s="59">
        <f t="shared" si="14"/>
        <v>0</v>
      </c>
      <c r="AR39" s="59">
        <f t="shared" si="15"/>
        <v>0</v>
      </c>
      <c r="AS39" s="59">
        <f t="shared" si="16"/>
        <v>16.739998310558029</v>
      </c>
      <c r="AT39" s="59">
        <f t="shared" si="17"/>
        <v>-0.99711316629195745</v>
      </c>
      <c r="AU39" s="59">
        <f t="shared" si="18"/>
        <v>17531.158931056983</v>
      </c>
      <c r="AV39" s="59">
        <f t="shared" si="19"/>
        <v>-0.72395636031600197</v>
      </c>
      <c r="AW39" s="59">
        <f t="shared" si="20"/>
        <v>0.2232237416237981</v>
      </c>
      <c r="AX39" s="59">
        <f t="shared" si="21"/>
        <v>-5.6079514875741254E-2</v>
      </c>
      <c r="AY39" s="59">
        <f t="shared" si="22"/>
        <v>2.1256587215741676</v>
      </c>
      <c r="AZ39" s="65">
        <f t="shared" si="23"/>
        <v>1754.7470662789262</v>
      </c>
    </row>
    <row r="40" spans="1:52" ht="25.5">
      <c r="A40" s="515" t="s">
        <v>21</v>
      </c>
      <c r="B40" s="495">
        <v>48318</v>
      </c>
      <c r="C40" s="496">
        <v>42777</v>
      </c>
      <c r="D40" s="496"/>
      <c r="E40" s="496">
        <v>19932</v>
      </c>
      <c r="F40" s="496">
        <v>43641</v>
      </c>
      <c r="G40" s="496">
        <v>27468</v>
      </c>
      <c r="H40" s="496">
        <v>1250818</v>
      </c>
      <c r="I40" s="496">
        <v>418118</v>
      </c>
      <c r="J40" s="496">
        <v>1214902</v>
      </c>
      <c r="K40" s="496">
        <v>1110298</v>
      </c>
      <c r="L40" s="497">
        <v>2465698</v>
      </c>
      <c r="M40" s="463"/>
      <c r="O40" s="58">
        <f t="shared" si="1"/>
        <v>1.208103489548347E-3</v>
      </c>
      <c r="P40" s="59">
        <f t="shared" si="2"/>
        <v>2.1056139368143536E-3</v>
      </c>
      <c r="Q40" s="59">
        <f t="shared" si="3"/>
        <v>0</v>
      </c>
      <c r="R40" s="59">
        <f t="shared" si="4"/>
        <v>1.2787608927562802E-3</v>
      </c>
      <c r="S40" s="59">
        <f t="shared" si="5"/>
        <v>1.9418268870740965E-3</v>
      </c>
      <c r="T40" s="59">
        <f t="shared" si="6"/>
        <v>1.1191136528606253E-3</v>
      </c>
      <c r="U40" s="59">
        <f t="shared" si="7"/>
        <v>2.6667224393362422E-2</v>
      </c>
      <c r="V40" s="59">
        <f t="shared" si="8"/>
        <v>3.3204782645616655E-3</v>
      </c>
      <c r="W40" s="59">
        <f t="shared" si="9"/>
        <v>1.8715454299844284E-2</v>
      </c>
      <c r="X40" s="59">
        <f t="shared" si="10"/>
        <v>1.0926816014653042E-2</v>
      </c>
      <c r="Y40" s="60">
        <f t="shared" si="11"/>
        <v>1.5579183845594587E-2</v>
      </c>
      <c r="Z40" s="60">
        <f t="shared" si="24"/>
        <v>7.5329614251881541E-3</v>
      </c>
      <c r="AB40" s="68"/>
      <c r="AC40" s="59">
        <f t="shared" si="25"/>
        <v>-0.114677759841053</v>
      </c>
      <c r="AD40" s="59">
        <f t="shared" si="25"/>
        <v>-1</v>
      </c>
      <c r="AE40" s="59" t="str">
        <f t="shared" si="25"/>
        <v/>
      </c>
      <c r="AF40" s="59">
        <f t="shared" si="25"/>
        <v>1.1894942805538831</v>
      </c>
      <c r="AG40" s="59">
        <f t="shared" si="25"/>
        <v>-0.37059187461332233</v>
      </c>
      <c r="AH40" s="59">
        <f t="shared" si="26"/>
        <v>44.53727974370176</v>
      </c>
      <c r="AI40" s="59">
        <f t="shared" si="26"/>
        <v>-0.66572434998536956</v>
      </c>
      <c r="AJ40" s="59">
        <f t="shared" si="26"/>
        <v>1.9056438613023117</v>
      </c>
      <c r="AK40" s="59">
        <f t="shared" si="26"/>
        <v>-8.610077191411325E-2</v>
      </c>
      <c r="AL40" s="59">
        <f t="shared" si="27"/>
        <v>1.2207533472995538</v>
      </c>
      <c r="AM40" s="65">
        <f t="shared" si="12"/>
        <v>5.1795640529448503</v>
      </c>
      <c r="AO40" s="58"/>
      <c r="AP40" s="59">
        <f t="shared" si="13"/>
        <v>-0.18591058376188774</v>
      </c>
      <c r="AQ40" s="59">
        <f t="shared" si="14"/>
        <v>-1</v>
      </c>
      <c r="AR40" s="59">
        <f t="shared" si="15"/>
        <v>0</v>
      </c>
      <c r="AS40" s="59">
        <f t="shared" si="16"/>
        <v>1.0560562311521111</v>
      </c>
      <c r="AT40" s="59">
        <f t="shared" si="17"/>
        <v>-0.40339061091926942</v>
      </c>
      <c r="AU40" s="59">
        <f t="shared" si="18"/>
        <v>42.429814098091917</v>
      </c>
      <c r="AV40" s="59">
        <f t="shared" si="19"/>
        <v>-0.68005776223714542</v>
      </c>
      <c r="AW40" s="59">
        <f t="shared" si="20"/>
        <v>1.7492136070605655</v>
      </c>
      <c r="AX40" s="59">
        <f t="shared" si="21"/>
        <v>-0.15120346606679047</v>
      </c>
      <c r="AY40" s="59">
        <f t="shared" si="22"/>
        <v>1.1772091640191702</v>
      </c>
      <c r="AZ40" s="65">
        <f t="shared" si="23"/>
        <v>4.3991730677338676</v>
      </c>
    </row>
    <row r="41" spans="1:52" ht="38.25">
      <c r="A41" s="515" t="s">
        <v>22</v>
      </c>
      <c r="B41" s="495">
        <v>25744056</v>
      </c>
      <c r="C41" s="496">
        <v>10096245</v>
      </c>
      <c r="D41" s="496">
        <v>3773795</v>
      </c>
      <c r="E41" s="496">
        <v>7853104</v>
      </c>
      <c r="F41" s="496">
        <v>10158310</v>
      </c>
      <c r="G41" s="496">
        <v>15838850</v>
      </c>
      <c r="H41" s="496">
        <v>29283548</v>
      </c>
      <c r="I41" s="496">
        <v>105096338</v>
      </c>
      <c r="J41" s="496">
        <v>41932063</v>
      </c>
      <c r="K41" s="496">
        <v>73551990</v>
      </c>
      <c r="L41" s="497">
        <v>120182131</v>
      </c>
      <c r="M41" s="463"/>
      <c r="O41" s="58">
        <f t="shared" si="1"/>
        <v>0.64368317994801239</v>
      </c>
      <c r="P41" s="59">
        <f t="shared" si="2"/>
        <v>0.49696786080118371</v>
      </c>
      <c r="Q41" s="59">
        <f t="shared" si="3"/>
        <v>0.37597751743523578</v>
      </c>
      <c r="R41" s="59">
        <f t="shared" si="4"/>
        <v>0.50382511950370834</v>
      </c>
      <c r="S41" s="59">
        <f t="shared" si="5"/>
        <v>0.45199879666445925</v>
      </c>
      <c r="T41" s="59">
        <f t="shared" si="6"/>
        <v>0.64531357509143417</v>
      </c>
      <c r="U41" s="59">
        <f t="shared" si="7"/>
        <v>0.62432020130010868</v>
      </c>
      <c r="V41" s="59">
        <f t="shared" si="8"/>
        <v>0.8346211022104435</v>
      </c>
      <c r="W41" s="59">
        <f t="shared" si="9"/>
        <v>0.64595959902501721</v>
      </c>
      <c r="X41" s="59">
        <f t="shared" si="10"/>
        <v>0.72384986935183193</v>
      </c>
      <c r="Y41" s="60">
        <f t="shared" si="11"/>
        <v>0.75935476031709181</v>
      </c>
      <c r="Z41" s="60">
        <f t="shared" si="24"/>
        <v>0.60962468924077517</v>
      </c>
      <c r="AB41" s="68"/>
      <c r="AC41" s="59">
        <f t="shared" si="25"/>
        <v>-0.60782228721068665</v>
      </c>
      <c r="AD41" s="59">
        <f t="shared" si="25"/>
        <v>-0.62621796519399042</v>
      </c>
      <c r="AE41" s="59">
        <f t="shared" si="25"/>
        <v>1.0809567027355751</v>
      </c>
      <c r="AF41" s="59">
        <f t="shared" si="25"/>
        <v>0.29354074516267703</v>
      </c>
      <c r="AG41" s="59">
        <f t="shared" si="25"/>
        <v>0.55920128446562467</v>
      </c>
      <c r="AH41" s="59">
        <f t="shared" si="26"/>
        <v>0.84884306625796691</v>
      </c>
      <c r="AI41" s="59">
        <f t="shared" si="26"/>
        <v>2.5889209190088578</v>
      </c>
      <c r="AJ41" s="59">
        <f t="shared" si="26"/>
        <v>-0.60101309143616399</v>
      </c>
      <c r="AK41" s="59">
        <f t="shared" si="26"/>
        <v>0.75407515723707652</v>
      </c>
      <c r="AL41" s="59">
        <f t="shared" si="27"/>
        <v>0.63397524662487048</v>
      </c>
      <c r="AM41" s="65">
        <f t="shared" si="12"/>
        <v>0.49244597776518073</v>
      </c>
      <c r="AO41" s="58"/>
      <c r="AP41" s="59">
        <f t="shared" si="13"/>
        <v>-0.63937681582591877</v>
      </c>
      <c r="AQ41" s="59">
        <f t="shared" si="14"/>
        <v>-0.65278027421643325</v>
      </c>
      <c r="AR41" s="59">
        <f t="shared" si="15"/>
        <v>0.94500112415700066</v>
      </c>
      <c r="AS41" s="59">
        <f t="shared" si="16"/>
        <v>0.21470630590917184</v>
      </c>
      <c r="AT41" s="59">
        <f t="shared" si="17"/>
        <v>0.47795061464679423</v>
      </c>
      <c r="AU41" s="59">
        <f t="shared" si="18"/>
        <v>0.76327859538503273</v>
      </c>
      <c r="AV41" s="59">
        <f t="shared" si="19"/>
        <v>2.4350315074740219</v>
      </c>
      <c r="AW41" s="59">
        <f t="shared" si="20"/>
        <v>-0.62249322682956199</v>
      </c>
      <c r="AX41" s="59">
        <f t="shared" si="21"/>
        <v>0.62912153546677496</v>
      </c>
      <c r="AY41" s="59">
        <f t="shared" si="22"/>
        <v>0.60193651629889255</v>
      </c>
      <c r="AZ41" s="65">
        <f t="shared" si="23"/>
        <v>0.41523758824657742</v>
      </c>
    </row>
    <row r="42" spans="1:52" ht="25.5">
      <c r="A42" s="515" t="s">
        <v>115</v>
      </c>
      <c r="B42" s="495">
        <v>858182</v>
      </c>
      <c r="C42" s="496">
        <v>438839</v>
      </c>
      <c r="D42" s="496">
        <v>473745</v>
      </c>
      <c r="E42" s="496">
        <v>469961</v>
      </c>
      <c r="F42" s="496">
        <v>765386</v>
      </c>
      <c r="G42" s="496">
        <v>900477</v>
      </c>
      <c r="H42" s="496">
        <v>999097</v>
      </c>
      <c r="I42" s="496">
        <v>2444029</v>
      </c>
      <c r="J42" s="496">
        <v>399500</v>
      </c>
      <c r="K42" s="496">
        <v>598785</v>
      </c>
      <c r="L42" s="497">
        <v>1034941</v>
      </c>
      <c r="M42" s="463"/>
      <c r="O42" s="58">
        <f t="shared" si="1"/>
        <v>2.1457276146934469E-2</v>
      </c>
      <c r="P42" s="59">
        <f t="shared" si="2"/>
        <v>2.1600989186190574E-2</v>
      </c>
      <c r="Q42" s="59">
        <f t="shared" si="3"/>
        <v>4.7198501507727836E-2</v>
      </c>
      <c r="R42" s="59">
        <f t="shared" si="4"/>
        <v>3.0150900457587507E-2</v>
      </c>
      <c r="S42" s="59">
        <f t="shared" si="5"/>
        <v>3.4056211218581024E-2</v>
      </c>
      <c r="T42" s="59">
        <f t="shared" si="6"/>
        <v>3.6687640337373574E-2</v>
      </c>
      <c r="U42" s="59">
        <f t="shared" si="7"/>
        <v>2.1300576014844058E-2</v>
      </c>
      <c r="V42" s="59">
        <f t="shared" si="8"/>
        <v>1.9409222211094434E-2</v>
      </c>
      <c r="W42" s="59">
        <f t="shared" si="9"/>
        <v>6.154260996185529E-3</v>
      </c>
      <c r="X42" s="59">
        <f t="shared" si="10"/>
        <v>5.8928445582483455E-3</v>
      </c>
      <c r="Y42" s="60">
        <f t="shared" si="11"/>
        <v>6.5391366291993212E-3</v>
      </c>
      <c r="Z42" s="60">
        <f t="shared" si="24"/>
        <v>2.2767959933087875E-2</v>
      </c>
      <c r="AB42" s="68"/>
      <c r="AC42" s="59">
        <f t="shared" si="25"/>
        <v>-0.488641104101461</v>
      </c>
      <c r="AD42" s="59">
        <f t="shared" si="25"/>
        <v>7.954169980334469E-2</v>
      </c>
      <c r="AE42" s="59">
        <f t="shared" si="25"/>
        <v>-7.9874193922890857E-3</v>
      </c>
      <c r="AF42" s="59">
        <f t="shared" si="25"/>
        <v>0.62861599153972358</v>
      </c>
      <c r="AG42" s="59">
        <f t="shared" si="25"/>
        <v>0.17650048472274116</v>
      </c>
      <c r="AH42" s="59">
        <f t="shared" si="26"/>
        <v>0.1095197323196484</v>
      </c>
      <c r="AI42" s="59">
        <f t="shared" si="26"/>
        <v>1.4462379528714431</v>
      </c>
      <c r="AJ42" s="59">
        <f t="shared" si="26"/>
        <v>-0.8365404011163533</v>
      </c>
      <c r="AK42" s="59">
        <f t="shared" si="26"/>
        <v>0.49883604505632051</v>
      </c>
      <c r="AL42" s="59">
        <f t="shared" si="27"/>
        <v>0.72840168006880601</v>
      </c>
      <c r="AM42" s="65">
        <f t="shared" si="12"/>
        <v>0.23344846617719242</v>
      </c>
      <c r="AO42" s="58"/>
      <c r="AP42" s="59">
        <f t="shared" si="13"/>
        <v>-0.52978492331168825</v>
      </c>
      <c r="AQ42" s="59">
        <f t="shared" si="14"/>
        <v>2.8255455674357499E-3</v>
      </c>
      <c r="AR42" s="59">
        <f t="shared" si="15"/>
        <v>-7.2798784365164182E-2</v>
      </c>
      <c r="AS42" s="59">
        <f t="shared" si="16"/>
        <v>0.529360495388979</v>
      </c>
      <c r="AT42" s="59">
        <f t="shared" si="17"/>
        <v>0.11519252315403139</v>
      </c>
      <c r="AU42" s="59">
        <f t="shared" si="18"/>
        <v>5.8171150846393127E-2</v>
      </c>
      <c r="AV42" s="59">
        <f t="shared" si="19"/>
        <v>1.3413456669902786</v>
      </c>
      <c r="AW42" s="59">
        <f t="shared" si="20"/>
        <v>-0.845340525230725</v>
      </c>
      <c r="AX42" s="59">
        <f t="shared" si="21"/>
        <v>0.39206468380822934</v>
      </c>
      <c r="AY42" s="59">
        <f t="shared" si="22"/>
        <v>0.69451145104784895</v>
      </c>
      <c r="AZ42" s="65">
        <f t="shared" si="23"/>
        <v>0.16855472838956187</v>
      </c>
    </row>
    <row r="43" spans="1:52" ht="51">
      <c r="A43" s="515" t="s">
        <v>121</v>
      </c>
      <c r="B43" s="495"/>
      <c r="C43" s="496"/>
      <c r="D43" s="496"/>
      <c r="E43" s="496"/>
      <c r="F43" s="496"/>
      <c r="G43" s="496"/>
      <c r="H43" s="496"/>
      <c r="I43" s="496">
        <v>403451</v>
      </c>
      <c r="J43" s="496"/>
      <c r="K43" s="496"/>
      <c r="L43" s="497"/>
      <c r="M43" s="463"/>
      <c r="O43" s="58">
        <f t="shared" si="1"/>
        <v>0</v>
      </c>
      <c r="P43" s="59">
        <f t="shared" si="2"/>
        <v>0</v>
      </c>
      <c r="Q43" s="59">
        <f t="shared" si="3"/>
        <v>0</v>
      </c>
      <c r="R43" s="59">
        <f t="shared" si="4"/>
        <v>0</v>
      </c>
      <c r="S43" s="59">
        <f t="shared" si="5"/>
        <v>0</v>
      </c>
      <c r="T43" s="59">
        <f t="shared" si="6"/>
        <v>0</v>
      </c>
      <c r="U43" s="59">
        <f t="shared" si="7"/>
        <v>0</v>
      </c>
      <c r="V43" s="59">
        <f t="shared" si="8"/>
        <v>3.2040004886555195E-3</v>
      </c>
      <c r="W43" s="59">
        <f t="shared" si="9"/>
        <v>0</v>
      </c>
      <c r="X43" s="59">
        <f t="shared" si="10"/>
        <v>0</v>
      </c>
      <c r="Y43" s="60">
        <f t="shared" si="11"/>
        <v>0</v>
      </c>
      <c r="Z43" s="60">
        <f t="shared" si="24"/>
        <v>2.9127277169595629E-4</v>
      </c>
      <c r="AB43" s="68"/>
      <c r="AC43" s="59" t="str">
        <f t="shared" si="25"/>
        <v/>
      </c>
      <c r="AD43" s="59" t="str">
        <f t="shared" si="25"/>
        <v/>
      </c>
      <c r="AE43" s="59" t="str">
        <f t="shared" si="25"/>
        <v/>
      </c>
      <c r="AF43" s="59" t="str">
        <f t="shared" si="25"/>
        <v/>
      </c>
      <c r="AG43" s="59" t="str">
        <f t="shared" si="25"/>
        <v/>
      </c>
      <c r="AH43" s="59" t="str">
        <f t="shared" si="26"/>
        <v/>
      </c>
      <c r="AI43" s="59" t="str">
        <f t="shared" si="26"/>
        <v/>
      </c>
      <c r="AJ43" s="59">
        <f t="shared" si="26"/>
        <v>-1</v>
      </c>
      <c r="AK43" s="59" t="str">
        <f t="shared" si="26"/>
        <v/>
      </c>
      <c r="AL43" s="59" t="str">
        <f t="shared" si="27"/>
        <v/>
      </c>
      <c r="AM43" s="65">
        <f t="shared" si="12"/>
        <v>-1</v>
      </c>
      <c r="AO43" s="58"/>
      <c r="AP43" s="59">
        <f t="shared" si="13"/>
        <v>0</v>
      </c>
      <c r="AQ43" s="59">
        <f t="shared" si="14"/>
        <v>0</v>
      </c>
      <c r="AR43" s="59">
        <f t="shared" si="15"/>
        <v>0</v>
      </c>
      <c r="AS43" s="59">
        <f t="shared" si="16"/>
        <v>0</v>
      </c>
      <c r="AT43" s="59">
        <f t="shared" si="17"/>
        <v>0</v>
      </c>
      <c r="AU43" s="59">
        <f t="shared" si="18"/>
        <v>0</v>
      </c>
      <c r="AV43" s="59">
        <f t="shared" si="19"/>
        <v>0</v>
      </c>
      <c r="AW43" s="59">
        <f t="shared" si="20"/>
        <v>-1</v>
      </c>
      <c r="AX43" s="59">
        <f t="shared" si="21"/>
        <v>0</v>
      </c>
      <c r="AY43" s="59">
        <f t="shared" si="22"/>
        <v>0</v>
      </c>
      <c r="AZ43" s="65">
        <f t="shared" si="23"/>
        <v>-0.1</v>
      </c>
    </row>
    <row r="44" spans="1:52" ht="25.5">
      <c r="A44" s="515" t="s">
        <v>124</v>
      </c>
      <c r="B44" s="495"/>
      <c r="C44" s="496"/>
      <c r="D44" s="496"/>
      <c r="E44" s="496"/>
      <c r="F44" s="496"/>
      <c r="G44" s="496"/>
      <c r="H44" s="496"/>
      <c r="I44" s="496">
        <v>1308</v>
      </c>
      <c r="J44" s="496"/>
      <c r="K44" s="496"/>
      <c r="L44" s="497"/>
      <c r="M44" s="463"/>
      <c r="O44" s="58">
        <f t="shared" si="1"/>
        <v>0</v>
      </c>
      <c r="P44" s="59">
        <f t="shared" si="2"/>
        <v>0</v>
      </c>
      <c r="Q44" s="59">
        <f t="shared" si="3"/>
        <v>0</v>
      </c>
      <c r="R44" s="59">
        <f t="shared" si="4"/>
        <v>0</v>
      </c>
      <c r="S44" s="59">
        <f t="shared" si="5"/>
        <v>0</v>
      </c>
      <c r="T44" s="59">
        <f t="shared" si="6"/>
        <v>0</v>
      </c>
      <c r="U44" s="59">
        <f t="shared" si="7"/>
        <v>0</v>
      </c>
      <c r="V44" s="59">
        <f t="shared" si="8"/>
        <v>1.0387463754362785E-5</v>
      </c>
      <c r="W44" s="59">
        <f t="shared" si="9"/>
        <v>0</v>
      </c>
      <c r="X44" s="59">
        <f t="shared" si="10"/>
        <v>0</v>
      </c>
      <c r="Y44" s="60">
        <f t="shared" si="11"/>
        <v>0</v>
      </c>
      <c r="Z44" s="60">
        <f t="shared" si="24"/>
        <v>9.4431488676025316E-7</v>
      </c>
      <c r="AB44" s="68"/>
      <c r="AC44" s="59" t="str">
        <f t="shared" si="25"/>
        <v/>
      </c>
      <c r="AD44" s="59" t="str">
        <f t="shared" si="25"/>
        <v/>
      </c>
      <c r="AE44" s="59" t="str">
        <f t="shared" si="25"/>
        <v/>
      </c>
      <c r="AF44" s="59" t="str">
        <f t="shared" si="25"/>
        <v/>
      </c>
      <c r="AG44" s="59" t="str">
        <f t="shared" si="25"/>
        <v/>
      </c>
      <c r="AH44" s="59" t="str">
        <f t="shared" si="26"/>
        <v/>
      </c>
      <c r="AI44" s="59" t="str">
        <f t="shared" si="26"/>
        <v/>
      </c>
      <c r="AJ44" s="59">
        <f t="shared" si="26"/>
        <v>-1</v>
      </c>
      <c r="AK44" s="59" t="str">
        <f t="shared" si="26"/>
        <v/>
      </c>
      <c r="AL44" s="59" t="str">
        <f t="shared" si="27"/>
        <v/>
      </c>
      <c r="AM44" s="65">
        <f t="shared" si="12"/>
        <v>-1</v>
      </c>
      <c r="AO44" s="58"/>
      <c r="AP44" s="59">
        <f t="shared" si="13"/>
        <v>0</v>
      </c>
      <c r="AQ44" s="59">
        <f t="shared" si="14"/>
        <v>0</v>
      </c>
      <c r="AR44" s="59">
        <f t="shared" si="15"/>
        <v>0</v>
      </c>
      <c r="AS44" s="59">
        <f t="shared" si="16"/>
        <v>0</v>
      </c>
      <c r="AT44" s="59">
        <f t="shared" si="17"/>
        <v>0</v>
      </c>
      <c r="AU44" s="59">
        <f t="shared" si="18"/>
        <v>0</v>
      </c>
      <c r="AV44" s="59">
        <f t="shared" si="19"/>
        <v>0</v>
      </c>
      <c r="AW44" s="59">
        <f t="shared" si="20"/>
        <v>-1</v>
      </c>
      <c r="AX44" s="59">
        <f t="shared" si="21"/>
        <v>0</v>
      </c>
      <c r="AY44" s="59">
        <f t="shared" si="22"/>
        <v>0</v>
      </c>
      <c r="AZ44" s="65">
        <f t="shared" si="23"/>
        <v>-0.1</v>
      </c>
    </row>
    <row r="45" spans="1:52" ht="51">
      <c r="A45" s="515" t="s">
        <v>127</v>
      </c>
      <c r="B45" s="495"/>
      <c r="C45" s="496"/>
      <c r="D45" s="496"/>
      <c r="E45" s="496"/>
      <c r="F45" s="496"/>
      <c r="G45" s="496"/>
      <c r="H45" s="496"/>
      <c r="I45" s="496"/>
      <c r="J45" s="496">
        <v>61598</v>
      </c>
      <c r="K45" s="496">
        <v>71872</v>
      </c>
      <c r="L45" s="497"/>
      <c r="M45" s="463"/>
      <c r="O45" s="58">
        <f t="shared" si="1"/>
        <v>0</v>
      </c>
      <c r="P45" s="59">
        <f t="shared" si="2"/>
        <v>0</v>
      </c>
      <c r="Q45" s="59">
        <f t="shared" si="3"/>
        <v>0</v>
      </c>
      <c r="R45" s="59">
        <f t="shared" si="4"/>
        <v>0</v>
      </c>
      <c r="S45" s="59">
        <f t="shared" si="5"/>
        <v>0</v>
      </c>
      <c r="T45" s="59">
        <f t="shared" si="6"/>
        <v>0</v>
      </c>
      <c r="U45" s="59">
        <f t="shared" si="7"/>
        <v>0</v>
      </c>
      <c r="V45" s="59">
        <f t="shared" si="8"/>
        <v>0</v>
      </c>
      <c r="W45" s="59">
        <f t="shared" si="9"/>
        <v>9.4891156155953995E-4</v>
      </c>
      <c r="X45" s="59">
        <f t="shared" si="10"/>
        <v>7.0731652277599647E-4</v>
      </c>
      <c r="Y45" s="60">
        <f t="shared" si="11"/>
        <v>0</v>
      </c>
      <c r="Z45" s="60">
        <f t="shared" si="24"/>
        <v>1.5056618948504875E-4</v>
      </c>
      <c r="AB45" s="68"/>
      <c r="AC45" s="59" t="str">
        <f t="shared" si="25"/>
        <v/>
      </c>
      <c r="AD45" s="59" t="str">
        <f t="shared" si="25"/>
        <v/>
      </c>
      <c r="AE45" s="59" t="str">
        <f t="shared" si="25"/>
        <v/>
      </c>
      <c r="AF45" s="59" t="str">
        <f t="shared" si="25"/>
        <v/>
      </c>
      <c r="AG45" s="59" t="str">
        <f t="shared" si="25"/>
        <v/>
      </c>
      <c r="AH45" s="59" t="str">
        <f t="shared" si="26"/>
        <v/>
      </c>
      <c r="AI45" s="59" t="str">
        <f t="shared" si="26"/>
        <v/>
      </c>
      <c r="AJ45" s="59" t="str">
        <f t="shared" si="26"/>
        <v/>
      </c>
      <c r="AK45" s="59">
        <f t="shared" si="26"/>
        <v>0.16679112958212938</v>
      </c>
      <c r="AL45" s="59">
        <f t="shared" si="27"/>
        <v>-1</v>
      </c>
      <c r="AM45" s="65">
        <f t="shared" si="12"/>
        <v>-0.41660443520893531</v>
      </c>
      <c r="AO45" s="58"/>
      <c r="AP45" s="59">
        <f t="shared" si="13"/>
        <v>0</v>
      </c>
      <c r="AQ45" s="59">
        <f t="shared" si="14"/>
        <v>0</v>
      </c>
      <c r="AR45" s="59">
        <f t="shared" si="15"/>
        <v>0</v>
      </c>
      <c r="AS45" s="59">
        <f t="shared" si="16"/>
        <v>0</v>
      </c>
      <c r="AT45" s="59">
        <f t="shared" si="17"/>
        <v>0</v>
      </c>
      <c r="AU45" s="59">
        <f t="shared" si="18"/>
        <v>0</v>
      </c>
      <c r="AV45" s="59">
        <f t="shared" si="19"/>
        <v>0</v>
      </c>
      <c r="AW45" s="59">
        <f t="shared" si="20"/>
        <v>0</v>
      </c>
      <c r="AX45" s="59">
        <f t="shared" si="21"/>
        <v>8.3673381240948697E-2</v>
      </c>
      <c r="AY45" s="59">
        <f t="shared" si="22"/>
        <v>-1</v>
      </c>
      <c r="AZ45" s="65">
        <f t="shared" si="23"/>
        <v>-9.163266187590513E-2</v>
      </c>
    </row>
    <row r="46" spans="1:52" ht="25.5">
      <c r="A46" s="515" t="s">
        <v>131</v>
      </c>
      <c r="B46" s="495"/>
      <c r="C46" s="496"/>
      <c r="D46" s="496"/>
      <c r="E46" s="496"/>
      <c r="F46" s="496"/>
      <c r="G46" s="496"/>
      <c r="H46" s="496"/>
      <c r="I46" s="496"/>
      <c r="J46" s="496">
        <v>1991512</v>
      </c>
      <c r="K46" s="496">
        <v>342476</v>
      </c>
      <c r="L46" s="497">
        <v>1086875</v>
      </c>
      <c r="M46" s="463"/>
      <c r="O46" s="58">
        <f t="shared" si="1"/>
        <v>0</v>
      </c>
      <c r="P46" s="59">
        <f t="shared" si="2"/>
        <v>0</v>
      </c>
      <c r="Q46" s="59">
        <f t="shared" si="3"/>
        <v>0</v>
      </c>
      <c r="R46" s="59">
        <f t="shared" si="4"/>
        <v>0</v>
      </c>
      <c r="S46" s="59">
        <f t="shared" si="5"/>
        <v>0</v>
      </c>
      <c r="T46" s="59">
        <f t="shared" si="6"/>
        <v>0</v>
      </c>
      <c r="U46" s="59">
        <f t="shared" si="7"/>
        <v>0</v>
      </c>
      <c r="V46" s="59">
        <f t="shared" si="8"/>
        <v>0</v>
      </c>
      <c r="W46" s="59">
        <f t="shared" si="9"/>
        <v>3.0679060388073678E-2</v>
      </c>
      <c r="X46" s="59">
        <f t="shared" si="10"/>
        <v>3.3704214917385377E-3</v>
      </c>
      <c r="Y46" s="60">
        <f t="shared" si="11"/>
        <v>6.867274679291875E-3</v>
      </c>
      <c r="Z46" s="60">
        <f t="shared" si="24"/>
        <v>3.7197051417367354E-3</v>
      </c>
      <c r="AB46" s="68"/>
      <c r="AC46" s="59" t="str">
        <f t="shared" si="25"/>
        <v/>
      </c>
      <c r="AD46" s="59" t="str">
        <f t="shared" si="25"/>
        <v/>
      </c>
      <c r="AE46" s="59" t="str">
        <f t="shared" si="25"/>
        <v/>
      </c>
      <c r="AF46" s="59" t="str">
        <f t="shared" si="25"/>
        <v/>
      </c>
      <c r="AG46" s="59" t="str">
        <f t="shared" si="25"/>
        <v/>
      </c>
      <c r="AH46" s="59" t="str">
        <f t="shared" si="26"/>
        <v/>
      </c>
      <c r="AI46" s="59" t="str">
        <f t="shared" si="26"/>
        <v/>
      </c>
      <c r="AJ46" s="59" t="str">
        <f t="shared" si="26"/>
        <v/>
      </c>
      <c r="AK46" s="59">
        <f t="shared" si="26"/>
        <v>-0.82803216852321249</v>
      </c>
      <c r="AL46" s="59">
        <f t="shared" si="27"/>
        <v>2.173580046485009</v>
      </c>
      <c r="AM46" s="65">
        <f t="shared" si="12"/>
        <v>0.67277393898089821</v>
      </c>
      <c r="AO46" s="58"/>
      <c r="AP46" s="59">
        <f t="shared" si="13"/>
        <v>0</v>
      </c>
      <c r="AQ46" s="59">
        <f t="shared" si="14"/>
        <v>0</v>
      </c>
      <c r="AR46" s="59">
        <f t="shared" si="15"/>
        <v>0</v>
      </c>
      <c r="AS46" s="59">
        <f t="shared" si="16"/>
        <v>0</v>
      </c>
      <c r="AT46" s="59">
        <f t="shared" si="17"/>
        <v>0</v>
      </c>
      <c r="AU46" s="59">
        <f t="shared" si="18"/>
        <v>0</v>
      </c>
      <c r="AV46" s="59">
        <f t="shared" si="19"/>
        <v>0</v>
      </c>
      <c r="AW46" s="59">
        <f t="shared" si="20"/>
        <v>0</v>
      </c>
      <c r="AX46" s="59">
        <f t="shared" si="21"/>
        <v>-0.84028250071813182</v>
      </c>
      <c r="AY46" s="59">
        <f t="shared" si="22"/>
        <v>2.1113529867500089</v>
      </c>
      <c r="AZ46" s="65">
        <f t="shared" si="23"/>
        <v>0.12710704860318772</v>
      </c>
    </row>
    <row r="47" spans="1:52" ht="38.25">
      <c r="A47" s="515" t="s">
        <v>132</v>
      </c>
      <c r="B47" s="495">
        <v>8266</v>
      </c>
      <c r="C47" s="496">
        <v>23204</v>
      </c>
      <c r="D47" s="496">
        <v>14156</v>
      </c>
      <c r="E47" s="496">
        <v>3946</v>
      </c>
      <c r="F47" s="496">
        <v>99</v>
      </c>
      <c r="G47" s="496">
        <v>99</v>
      </c>
      <c r="H47" s="496"/>
      <c r="I47" s="496"/>
      <c r="J47" s="496"/>
      <c r="K47" s="496">
        <v>1994</v>
      </c>
      <c r="L47" s="497"/>
      <c r="M47" s="463"/>
      <c r="O47" s="58">
        <f t="shared" si="1"/>
        <v>2.0667625821860666E-4</v>
      </c>
      <c r="P47" s="59">
        <f t="shared" si="2"/>
        <v>1.1421713956060561E-3</v>
      </c>
      <c r="Q47" s="59">
        <f t="shared" si="3"/>
        <v>1.4103409795214624E-3</v>
      </c>
      <c r="R47" s="59">
        <f t="shared" si="4"/>
        <v>2.5316026905560315E-4</v>
      </c>
      <c r="S47" s="59">
        <f t="shared" si="5"/>
        <v>4.4050517133048176E-6</v>
      </c>
      <c r="T47" s="59">
        <f t="shared" si="6"/>
        <v>4.0335026806903268E-6</v>
      </c>
      <c r="U47" s="59">
        <f t="shared" si="7"/>
        <v>0</v>
      </c>
      <c r="V47" s="59">
        <f t="shared" si="8"/>
        <v>0</v>
      </c>
      <c r="W47" s="59">
        <f t="shared" si="9"/>
        <v>0</v>
      </c>
      <c r="X47" s="59">
        <f t="shared" si="10"/>
        <v>1.9623624588370117E-5</v>
      </c>
      <c r="Y47" s="60">
        <f t="shared" si="11"/>
        <v>0</v>
      </c>
      <c r="Z47" s="60">
        <f t="shared" si="24"/>
        <v>2.7640100739855395E-4</v>
      </c>
      <c r="AB47" s="68"/>
      <c r="AC47" s="59">
        <f t="shared" si="25"/>
        <v>1.8071618678925718</v>
      </c>
      <c r="AD47" s="59">
        <f t="shared" si="25"/>
        <v>-0.38993277021203243</v>
      </c>
      <c r="AE47" s="59">
        <f t="shared" si="25"/>
        <v>-0.72124894037863796</v>
      </c>
      <c r="AF47" s="59">
        <f t="shared" si="25"/>
        <v>-0.97491130258489611</v>
      </c>
      <c r="AG47" s="59">
        <f t="shared" si="25"/>
        <v>0</v>
      </c>
      <c r="AH47" s="59">
        <f t="shared" si="26"/>
        <v>-1</v>
      </c>
      <c r="AI47" s="59" t="str">
        <f t="shared" si="26"/>
        <v/>
      </c>
      <c r="AJ47" s="59" t="str">
        <f t="shared" si="26"/>
        <v/>
      </c>
      <c r="AK47" s="59" t="str">
        <f t="shared" si="26"/>
        <v/>
      </c>
      <c r="AL47" s="59">
        <f t="shared" si="27"/>
        <v>-1</v>
      </c>
      <c r="AM47" s="65">
        <f t="shared" si="12"/>
        <v>-0.32556159218328495</v>
      </c>
      <c r="AO47" s="58"/>
      <c r="AP47" s="59">
        <f t="shared" si="13"/>
        <v>1.5812982693265032</v>
      </c>
      <c r="AQ47" s="59">
        <f t="shared" si="14"/>
        <v>-0.43328636341108451</v>
      </c>
      <c r="AR47" s="59">
        <f t="shared" si="15"/>
        <v>-0.7394606415353191</v>
      </c>
      <c r="AS47" s="59">
        <f t="shared" si="16"/>
        <v>-0.97644032546238724</v>
      </c>
      <c r="AT47" s="59">
        <f t="shared" si="17"/>
        <v>-5.2110443102076465E-2</v>
      </c>
      <c r="AU47" s="59">
        <f t="shared" si="18"/>
        <v>-1</v>
      </c>
      <c r="AV47" s="59">
        <f t="shared" si="19"/>
        <v>0</v>
      </c>
      <c r="AW47" s="59">
        <f t="shared" si="20"/>
        <v>0</v>
      </c>
      <c r="AX47" s="59">
        <f t="shared" si="21"/>
        <v>0</v>
      </c>
      <c r="AY47" s="59">
        <f t="shared" si="22"/>
        <v>-1</v>
      </c>
      <c r="AZ47" s="65">
        <f t="shared" si="23"/>
        <v>-0.26199995041843643</v>
      </c>
    </row>
    <row r="48" spans="1:52" ht="38.25">
      <c r="A48" s="515" t="s">
        <v>134</v>
      </c>
      <c r="B48" s="495">
        <v>8266</v>
      </c>
      <c r="C48" s="496">
        <v>23204</v>
      </c>
      <c r="D48" s="496">
        <v>14156</v>
      </c>
      <c r="E48" s="496">
        <v>3946</v>
      </c>
      <c r="F48" s="496">
        <v>99</v>
      </c>
      <c r="G48" s="496">
        <v>99</v>
      </c>
      <c r="H48" s="496"/>
      <c r="I48" s="496">
        <v>404759</v>
      </c>
      <c r="J48" s="496">
        <v>2053110</v>
      </c>
      <c r="K48" s="496">
        <v>416342</v>
      </c>
      <c r="L48" s="497">
        <v>1086875</v>
      </c>
      <c r="M48" s="463"/>
      <c r="O48" s="58">
        <f t="shared" si="1"/>
        <v>2.0667625821860666E-4</v>
      </c>
      <c r="P48" s="59">
        <f t="shared" si="2"/>
        <v>1.1421713956060561E-3</v>
      </c>
      <c r="Q48" s="59">
        <f t="shared" si="3"/>
        <v>1.4103409795214624E-3</v>
      </c>
      <c r="R48" s="59">
        <f t="shared" si="4"/>
        <v>2.5316026905560315E-4</v>
      </c>
      <c r="S48" s="59">
        <f t="shared" si="5"/>
        <v>4.4050517133048176E-6</v>
      </c>
      <c r="T48" s="59">
        <f t="shared" si="6"/>
        <v>4.0335026806903268E-6</v>
      </c>
      <c r="U48" s="59">
        <f t="shared" si="7"/>
        <v>0</v>
      </c>
      <c r="V48" s="59">
        <f t="shared" si="8"/>
        <v>3.2143879524098823E-3</v>
      </c>
      <c r="W48" s="59">
        <f t="shared" si="9"/>
        <v>3.1627971949633217E-2</v>
      </c>
      <c r="X48" s="59">
        <f t="shared" si="10"/>
        <v>4.0973616391029042E-3</v>
      </c>
      <c r="Y48" s="60">
        <f t="shared" si="11"/>
        <v>6.867274679291875E-3</v>
      </c>
      <c r="Z48" s="60">
        <f t="shared" si="24"/>
        <v>4.4388894252030539E-3</v>
      </c>
      <c r="AB48" s="68"/>
      <c r="AC48" s="59">
        <f t="shared" si="25"/>
        <v>1.8071618678925718</v>
      </c>
      <c r="AD48" s="59">
        <f t="shared" si="25"/>
        <v>-0.38993277021203243</v>
      </c>
      <c r="AE48" s="59">
        <f t="shared" si="25"/>
        <v>-0.72124894037863796</v>
      </c>
      <c r="AF48" s="59">
        <f t="shared" si="25"/>
        <v>-0.97491130258489611</v>
      </c>
      <c r="AG48" s="59">
        <f t="shared" si="25"/>
        <v>0</v>
      </c>
      <c r="AH48" s="59">
        <f t="shared" si="26"/>
        <v>-1</v>
      </c>
      <c r="AI48" s="59" t="str">
        <f t="shared" si="26"/>
        <v/>
      </c>
      <c r="AJ48" s="59">
        <f t="shared" si="26"/>
        <v>4.0724258138793701</v>
      </c>
      <c r="AK48" s="59">
        <f t="shared" si="26"/>
        <v>-0.79721398268967569</v>
      </c>
      <c r="AL48" s="59">
        <f t="shared" si="27"/>
        <v>1.6105341281926879</v>
      </c>
      <c r="AM48" s="65">
        <f t="shared" si="12"/>
        <v>0.40075720156659866</v>
      </c>
      <c r="AO48" s="58"/>
      <c r="AP48" s="59">
        <f t="shared" si="13"/>
        <v>1.5812982693265032</v>
      </c>
      <c r="AQ48" s="59">
        <f t="shared" si="14"/>
        <v>-0.43328636341108451</v>
      </c>
      <c r="AR48" s="59">
        <f t="shared" si="15"/>
        <v>-0.7394606415353191</v>
      </c>
      <c r="AS48" s="59">
        <f t="shared" si="16"/>
        <v>-0.97644032546238724</v>
      </c>
      <c r="AT48" s="59">
        <f t="shared" si="17"/>
        <v>-5.2110443102076465E-2</v>
      </c>
      <c r="AU48" s="59">
        <f t="shared" si="18"/>
        <v>-1</v>
      </c>
      <c r="AV48" s="59">
        <f t="shared" si="19"/>
        <v>0</v>
      </c>
      <c r="AW48" s="59">
        <f t="shared" si="20"/>
        <v>3.7993431865638856</v>
      </c>
      <c r="AX48" s="59">
        <f t="shared" si="21"/>
        <v>-0.81165968486084861</v>
      </c>
      <c r="AY48" s="59">
        <f t="shared" si="22"/>
        <v>1.5593471845026352</v>
      </c>
      <c r="AZ48" s="65">
        <f t="shared" si="23"/>
        <v>0.2927031182021308</v>
      </c>
    </row>
    <row r="49" spans="1:52" ht="51">
      <c r="A49" s="515" t="s">
        <v>23</v>
      </c>
      <c r="B49" s="495">
        <v>4266990</v>
      </c>
      <c r="C49" s="496">
        <v>3774140</v>
      </c>
      <c r="D49" s="496">
        <v>1003502</v>
      </c>
      <c r="E49" s="496">
        <v>3063730</v>
      </c>
      <c r="F49" s="496">
        <v>5596548</v>
      </c>
      <c r="G49" s="496">
        <v>5943393</v>
      </c>
      <c r="H49" s="496">
        <v>11010677</v>
      </c>
      <c r="I49" s="496">
        <v>12281594</v>
      </c>
      <c r="J49" s="496">
        <v>14393776</v>
      </c>
      <c r="K49" s="496">
        <v>17727998</v>
      </c>
      <c r="L49" s="497">
        <v>27629194</v>
      </c>
      <c r="M49" s="463"/>
      <c r="O49" s="58">
        <f t="shared" si="1"/>
        <v>0.10668830474911838</v>
      </c>
      <c r="P49" s="59">
        <f t="shared" si="2"/>
        <v>0.18577464019189111</v>
      </c>
      <c r="Q49" s="59">
        <f t="shared" si="3"/>
        <v>9.9977394294415559E-2</v>
      </c>
      <c r="R49" s="59">
        <f t="shared" si="4"/>
        <v>0.19655719997813559</v>
      </c>
      <c r="S49" s="59">
        <f t="shared" si="5"/>
        <v>0.24902104399992578</v>
      </c>
      <c r="T49" s="59">
        <f t="shared" si="6"/>
        <v>0.24214839997874874</v>
      </c>
      <c r="U49" s="59">
        <f t="shared" si="7"/>
        <v>0.23474573781464175</v>
      </c>
      <c r="V49" s="59">
        <f t="shared" si="8"/>
        <v>9.7534107431803865E-2</v>
      </c>
      <c r="W49" s="59">
        <f t="shared" si="9"/>
        <v>0.22173480406666171</v>
      </c>
      <c r="X49" s="59">
        <f t="shared" si="10"/>
        <v>0.17446719029858387</v>
      </c>
      <c r="Y49" s="60">
        <f t="shared" si="11"/>
        <v>0.17457137606941275</v>
      </c>
      <c r="Z49" s="60">
        <f t="shared" si="24"/>
        <v>0.18029274535212175</v>
      </c>
      <c r="AB49" s="68"/>
      <c r="AC49" s="59">
        <f t="shared" si="25"/>
        <v>-0.11550296579087371</v>
      </c>
      <c r="AD49" s="59">
        <f t="shared" si="25"/>
        <v>-0.7341110822597996</v>
      </c>
      <c r="AE49" s="59">
        <f t="shared" si="25"/>
        <v>2.0530382600134329</v>
      </c>
      <c r="AF49" s="59">
        <f t="shared" si="25"/>
        <v>0.82671057828202876</v>
      </c>
      <c r="AG49" s="59">
        <f t="shared" si="25"/>
        <v>6.1974810186564921E-2</v>
      </c>
      <c r="AH49" s="59">
        <f t="shared" si="26"/>
        <v>0.85259110410501204</v>
      </c>
      <c r="AI49" s="59">
        <f t="shared" si="26"/>
        <v>0.11542587254171566</v>
      </c>
      <c r="AJ49" s="59">
        <f t="shared" si="26"/>
        <v>0.17197946781175144</v>
      </c>
      <c r="AK49" s="59">
        <f t="shared" si="26"/>
        <v>0.23164331583317677</v>
      </c>
      <c r="AL49" s="59">
        <f t="shared" si="27"/>
        <v>0.55850615506612766</v>
      </c>
      <c r="AM49" s="65">
        <f t="shared" si="12"/>
        <v>0.4022255515789136</v>
      </c>
      <c r="AO49" s="58"/>
      <c r="AP49" s="59">
        <f t="shared" si="13"/>
        <v>-0.18666939383068837</v>
      </c>
      <c r="AQ49" s="59">
        <f t="shared" si="14"/>
        <v>-0.75300611450051058</v>
      </c>
      <c r="AR49" s="59">
        <f t="shared" si="15"/>
        <v>1.8535734741690182</v>
      </c>
      <c r="AS49" s="59">
        <f t="shared" si="16"/>
        <v>0.71538226902247048</v>
      </c>
      <c r="AT49" s="59">
        <f t="shared" si="17"/>
        <v>6.6348322644995683E-3</v>
      </c>
      <c r="AU49" s="59">
        <f t="shared" si="18"/>
        <v>0.76685317401260855</v>
      </c>
      <c r="AV49" s="59">
        <f t="shared" si="19"/>
        <v>6.7597504346971427E-2</v>
      </c>
      <c r="AW49" s="59">
        <f t="shared" si="20"/>
        <v>0.10888396992312566</v>
      </c>
      <c r="AX49" s="59">
        <f t="shared" si="21"/>
        <v>0.14390574517802235</v>
      </c>
      <c r="AY49" s="59">
        <f t="shared" si="22"/>
        <v>0.52794721084914475</v>
      </c>
      <c r="AZ49" s="65">
        <f t="shared" si="23"/>
        <v>0.32511026714346619</v>
      </c>
    </row>
    <row r="50" spans="1:52" ht="25.5">
      <c r="A50" s="515" t="s">
        <v>135</v>
      </c>
      <c r="B50" s="495"/>
      <c r="C50" s="496"/>
      <c r="D50" s="496"/>
      <c r="E50" s="496"/>
      <c r="F50" s="496"/>
      <c r="G50" s="496"/>
      <c r="H50" s="496">
        <v>301981</v>
      </c>
      <c r="I50" s="496">
        <v>315781</v>
      </c>
      <c r="J50" s="496">
        <v>315781</v>
      </c>
      <c r="K50" s="496">
        <v>315781</v>
      </c>
      <c r="L50" s="497">
        <v>315781</v>
      </c>
      <c r="M50" s="463"/>
      <c r="O50" s="58">
        <f t="shared" si="1"/>
        <v>0</v>
      </c>
      <c r="P50" s="59">
        <f t="shared" si="2"/>
        <v>0</v>
      </c>
      <c r="Q50" s="59">
        <f t="shared" si="3"/>
        <v>0</v>
      </c>
      <c r="R50" s="59">
        <f t="shared" si="4"/>
        <v>0</v>
      </c>
      <c r="S50" s="59">
        <f t="shared" si="5"/>
        <v>0</v>
      </c>
      <c r="T50" s="59">
        <f t="shared" si="6"/>
        <v>0</v>
      </c>
      <c r="U50" s="59">
        <f t="shared" si="7"/>
        <v>6.4381829247196452E-3</v>
      </c>
      <c r="V50" s="59">
        <f t="shared" si="8"/>
        <v>2.5077704065874879E-3</v>
      </c>
      <c r="W50" s="59">
        <f t="shared" si="9"/>
        <v>4.8645774509047876E-3</v>
      </c>
      <c r="X50" s="59">
        <f t="shared" si="10"/>
        <v>3.1077070191274344E-3</v>
      </c>
      <c r="Y50" s="60">
        <f t="shared" si="11"/>
        <v>1.9952201177701832E-3</v>
      </c>
      <c r="Z50" s="60">
        <f t="shared" si="24"/>
        <v>1.7194052653735946E-3</v>
      </c>
      <c r="AB50" s="68"/>
      <c r="AC50" s="59" t="str">
        <f t="shared" si="25"/>
        <v/>
      </c>
      <c r="AD50" s="59" t="str">
        <f t="shared" si="25"/>
        <v/>
      </c>
      <c r="AE50" s="59" t="str">
        <f t="shared" si="25"/>
        <v/>
      </c>
      <c r="AF50" s="59" t="str">
        <f t="shared" si="25"/>
        <v/>
      </c>
      <c r="AG50" s="59" t="str">
        <f t="shared" si="25"/>
        <v/>
      </c>
      <c r="AH50" s="59" t="str">
        <f t="shared" si="26"/>
        <v/>
      </c>
      <c r="AI50" s="59">
        <f t="shared" si="26"/>
        <v>4.5698239293200604E-2</v>
      </c>
      <c r="AJ50" s="59">
        <f t="shared" si="26"/>
        <v>0</v>
      </c>
      <c r="AK50" s="59">
        <f t="shared" si="26"/>
        <v>0</v>
      </c>
      <c r="AL50" s="59">
        <f t="shared" si="27"/>
        <v>0</v>
      </c>
      <c r="AM50" s="65">
        <f t="shared" si="12"/>
        <v>1.1424559823300151E-2</v>
      </c>
      <c r="AO50" s="58"/>
      <c r="AP50" s="59">
        <f t="shared" si="13"/>
        <v>0</v>
      </c>
      <c r="AQ50" s="59">
        <f t="shared" si="14"/>
        <v>0</v>
      </c>
      <c r="AR50" s="59">
        <f t="shared" si="15"/>
        <v>0</v>
      </c>
      <c r="AS50" s="59">
        <f t="shared" si="16"/>
        <v>0</v>
      </c>
      <c r="AT50" s="59">
        <f t="shared" si="17"/>
        <v>0</v>
      </c>
      <c r="AU50" s="59">
        <f t="shared" si="18"/>
        <v>0</v>
      </c>
      <c r="AV50" s="59">
        <f t="shared" si="19"/>
        <v>8.5972367266529126E-4</v>
      </c>
      <c r="AW50" s="59">
        <f t="shared" si="20"/>
        <v>-5.3836692213075965E-2</v>
      </c>
      <c r="AX50" s="59">
        <f t="shared" si="21"/>
        <v>-7.1236184638246436E-2</v>
      </c>
      <c r="AY50" s="59">
        <f t="shared" si="22"/>
        <v>-1.9607843137254943E-2</v>
      </c>
      <c r="AZ50" s="65">
        <f t="shared" si="23"/>
        <v>-1.4382099631591205E-2</v>
      </c>
    </row>
    <row r="51" spans="1:52">
      <c r="A51" s="515" t="s">
        <v>136</v>
      </c>
      <c r="B51" s="495">
        <v>6405</v>
      </c>
      <c r="C51" s="496">
        <v>6564</v>
      </c>
      <c r="D51" s="496">
        <v>4643</v>
      </c>
      <c r="E51" s="496">
        <v>4643</v>
      </c>
      <c r="F51" s="496">
        <v>4643</v>
      </c>
      <c r="G51" s="496">
        <v>4643</v>
      </c>
      <c r="H51" s="496">
        <v>12969</v>
      </c>
      <c r="I51" s="496">
        <v>150000</v>
      </c>
      <c r="J51" s="496">
        <v>177178</v>
      </c>
      <c r="K51" s="496">
        <v>177418</v>
      </c>
      <c r="L51" s="497">
        <v>239262</v>
      </c>
      <c r="M51" s="463"/>
      <c r="O51" s="58">
        <f t="shared" si="1"/>
        <v>1.6014534646626854E-4</v>
      </c>
      <c r="P51" s="59">
        <f t="shared" si="2"/>
        <v>3.2310002761412485E-4</v>
      </c>
      <c r="Q51" s="59">
        <f t="shared" si="3"/>
        <v>4.6257510369582863E-4</v>
      </c>
      <c r="R51" s="59">
        <f t="shared" si="4"/>
        <v>2.9787712347317927E-4</v>
      </c>
      <c r="S51" s="59">
        <f t="shared" si="5"/>
        <v>2.065924758068108E-4</v>
      </c>
      <c r="T51" s="59">
        <f t="shared" si="6"/>
        <v>1.8916720147924433E-4</v>
      </c>
      <c r="U51" s="59">
        <f t="shared" si="7"/>
        <v>2.7649684698934394E-4</v>
      </c>
      <c r="V51" s="59">
        <f t="shared" si="8"/>
        <v>1.1912229076104111E-3</v>
      </c>
      <c r="W51" s="59">
        <f t="shared" si="9"/>
        <v>2.7294109005811256E-3</v>
      </c>
      <c r="X51" s="59">
        <f t="shared" si="10"/>
        <v>1.7460302042223918E-3</v>
      </c>
      <c r="Y51" s="60">
        <f t="shared" si="11"/>
        <v>1.5117450252482877E-3</v>
      </c>
      <c r="Z51" s="60">
        <f t="shared" si="24"/>
        <v>8.2676028756245611E-4</v>
      </c>
      <c r="AB51" s="68"/>
      <c r="AC51" s="59">
        <f t="shared" si="25"/>
        <v>2.4824355971897027E-2</v>
      </c>
      <c r="AD51" s="59">
        <f t="shared" si="25"/>
        <v>-0.29265691651432058</v>
      </c>
      <c r="AE51" s="59">
        <f t="shared" si="25"/>
        <v>0</v>
      </c>
      <c r="AF51" s="59">
        <f t="shared" si="25"/>
        <v>0</v>
      </c>
      <c r="AG51" s="59">
        <f t="shared" si="25"/>
        <v>0</v>
      </c>
      <c r="AH51" s="59">
        <f t="shared" si="26"/>
        <v>1.7932371311651951</v>
      </c>
      <c r="AI51" s="59">
        <f t="shared" si="26"/>
        <v>10.566042100393245</v>
      </c>
      <c r="AJ51" s="59">
        <f t="shared" si="26"/>
        <v>0.18118666666666661</v>
      </c>
      <c r="AK51" s="59">
        <f t="shared" si="26"/>
        <v>1.354569980471565E-3</v>
      </c>
      <c r="AL51" s="59">
        <f t="shared" si="27"/>
        <v>0.34857793459513697</v>
      </c>
      <c r="AM51" s="65">
        <f t="shared" si="12"/>
        <v>1.2622565842258293</v>
      </c>
      <c r="AO51" s="58"/>
      <c r="AP51" s="59">
        <f t="shared" si="13"/>
        <v>-5.7632776117795714E-2</v>
      </c>
      <c r="AQ51" s="59">
        <f t="shared" si="14"/>
        <v>-0.34292328519676785</v>
      </c>
      <c r="AR51" s="59">
        <f t="shared" si="15"/>
        <v>-6.5333208711094604E-2</v>
      </c>
      <c r="AS51" s="59">
        <f t="shared" si="16"/>
        <v>-6.0944689642219885E-2</v>
      </c>
      <c r="AT51" s="59">
        <f t="shared" si="17"/>
        <v>-5.2110443102076465E-2</v>
      </c>
      <c r="AU51" s="59">
        <f t="shared" si="18"/>
        <v>1.6639660959363809</v>
      </c>
      <c r="AV51" s="59">
        <f t="shared" si="19"/>
        <v>10.070101550912371</v>
      </c>
      <c r="AW51" s="59">
        <f t="shared" si="20"/>
        <v>0.11759548364714423</v>
      </c>
      <c r="AX51" s="59">
        <f t="shared" si="21"/>
        <v>-6.997810905500923E-2</v>
      </c>
      <c r="AY51" s="59">
        <f t="shared" si="22"/>
        <v>0.32213522999523225</v>
      </c>
      <c r="AZ51" s="65">
        <f t="shared" si="23"/>
        <v>1.1524875848666165</v>
      </c>
    </row>
    <row r="52" spans="1:52">
      <c r="A52" s="515" t="s">
        <v>139</v>
      </c>
      <c r="B52" s="495"/>
      <c r="C52" s="496"/>
      <c r="D52" s="496"/>
      <c r="E52" s="496"/>
      <c r="F52" s="496">
        <v>1525951</v>
      </c>
      <c r="G52" s="496">
        <v>449853</v>
      </c>
      <c r="H52" s="496">
        <v>427637</v>
      </c>
      <c r="I52" s="496"/>
      <c r="J52" s="496"/>
      <c r="K52" s="496"/>
      <c r="L52" s="497">
        <v>396286</v>
      </c>
      <c r="M52" s="463"/>
      <c r="O52" s="58">
        <f t="shared" si="1"/>
        <v>0</v>
      </c>
      <c r="P52" s="59">
        <f t="shared" si="2"/>
        <v>0</v>
      </c>
      <c r="Q52" s="59">
        <f t="shared" si="3"/>
        <v>0</v>
      </c>
      <c r="R52" s="59">
        <f t="shared" si="4"/>
        <v>0</v>
      </c>
      <c r="S52" s="59">
        <f t="shared" si="5"/>
        <v>6.7897909767365663E-2</v>
      </c>
      <c r="T52" s="59">
        <f t="shared" si="6"/>
        <v>1.8328113953702888E-2</v>
      </c>
      <c r="U52" s="59">
        <f t="shared" si="7"/>
        <v>9.117147209189767E-3</v>
      </c>
      <c r="V52" s="59">
        <f t="shared" si="8"/>
        <v>0</v>
      </c>
      <c r="W52" s="59">
        <f t="shared" si="9"/>
        <v>0</v>
      </c>
      <c r="X52" s="59">
        <f t="shared" si="10"/>
        <v>0</v>
      </c>
      <c r="Y52" s="60">
        <f t="shared" si="11"/>
        <v>2.5038802194896929E-3</v>
      </c>
      <c r="Z52" s="60">
        <f t="shared" si="24"/>
        <v>8.8951864681589103E-3</v>
      </c>
      <c r="AB52" s="68"/>
      <c r="AC52" s="59" t="str">
        <f t="shared" si="25"/>
        <v/>
      </c>
      <c r="AD52" s="59" t="str">
        <f t="shared" si="25"/>
        <v/>
      </c>
      <c r="AE52" s="59" t="str">
        <f t="shared" si="25"/>
        <v/>
      </c>
      <c r="AF52" s="59" t="str">
        <f t="shared" si="25"/>
        <v/>
      </c>
      <c r="AG52" s="59">
        <f t="shared" si="25"/>
        <v>-0.70519826652363016</v>
      </c>
      <c r="AH52" s="59">
        <f t="shared" si="26"/>
        <v>-4.938502132918976E-2</v>
      </c>
      <c r="AI52" s="59">
        <f t="shared" si="26"/>
        <v>-1</v>
      </c>
      <c r="AJ52" s="59" t="str">
        <f t="shared" si="26"/>
        <v/>
      </c>
      <c r="AK52" s="59" t="str">
        <f t="shared" si="26"/>
        <v/>
      </c>
      <c r="AL52" s="59" t="str">
        <f t="shared" si="27"/>
        <v/>
      </c>
      <c r="AM52" s="65">
        <f t="shared" si="12"/>
        <v>-0.58486109595094005</v>
      </c>
      <c r="AO52" s="58"/>
      <c r="AP52" s="59">
        <f t="shared" si="13"/>
        <v>0</v>
      </c>
      <c r="AQ52" s="59">
        <f t="shared" si="14"/>
        <v>0</v>
      </c>
      <c r="AR52" s="59">
        <f t="shared" si="15"/>
        <v>0</v>
      </c>
      <c r="AS52" s="59">
        <f t="shared" si="16"/>
        <v>0</v>
      </c>
      <c r="AT52" s="59">
        <f t="shared" si="17"/>
        <v>-0.72056051548234401</v>
      </c>
      <c r="AU52" s="59">
        <f t="shared" si="18"/>
        <v>-9.337948962036946E-2</v>
      </c>
      <c r="AV52" s="59">
        <f t="shared" si="19"/>
        <v>-1</v>
      </c>
      <c r="AW52" s="59">
        <f t="shared" si="20"/>
        <v>0</v>
      </c>
      <c r="AX52" s="59">
        <f t="shared" si="21"/>
        <v>0</v>
      </c>
      <c r="AY52" s="59">
        <f t="shared" si="22"/>
        <v>0</v>
      </c>
      <c r="AZ52" s="65">
        <f t="shared" si="23"/>
        <v>-0.18139400051027135</v>
      </c>
    </row>
    <row r="53" spans="1:52" ht="25.5">
      <c r="A53" s="515" t="s">
        <v>140</v>
      </c>
      <c r="B53" s="495"/>
      <c r="C53" s="496"/>
      <c r="D53" s="496"/>
      <c r="E53" s="496"/>
      <c r="F53" s="496"/>
      <c r="G53" s="496"/>
      <c r="H53" s="496"/>
      <c r="I53" s="496"/>
      <c r="J53" s="496"/>
      <c r="K53" s="496"/>
      <c r="L53" s="497">
        <v>31286</v>
      </c>
      <c r="M53" s="463"/>
      <c r="O53" s="58">
        <f t="shared" si="1"/>
        <v>0</v>
      </c>
      <c r="P53" s="59">
        <f t="shared" si="2"/>
        <v>0</v>
      </c>
      <c r="Q53" s="59">
        <f t="shared" si="3"/>
        <v>0</v>
      </c>
      <c r="R53" s="59">
        <f t="shared" si="4"/>
        <v>0</v>
      </c>
      <c r="S53" s="59">
        <f t="shared" si="5"/>
        <v>0</v>
      </c>
      <c r="T53" s="59">
        <f t="shared" si="6"/>
        <v>0</v>
      </c>
      <c r="U53" s="59">
        <f t="shared" si="7"/>
        <v>0</v>
      </c>
      <c r="V53" s="59">
        <f t="shared" si="8"/>
        <v>0</v>
      </c>
      <c r="W53" s="59">
        <f t="shared" si="9"/>
        <v>0</v>
      </c>
      <c r="X53" s="59">
        <f t="shared" si="10"/>
        <v>0</v>
      </c>
      <c r="Y53" s="60">
        <f t="shared" si="11"/>
        <v>1.9767641689828693E-4</v>
      </c>
      <c r="Z53" s="60">
        <f t="shared" si="24"/>
        <v>1.7970583354389719E-5</v>
      </c>
      <c r="AB53" s="68"/>
      <c r="AC53" s="59" t="str">
        <f t="shared" si="25"/>
        <v/>
      </c>
      <c r="AD53" s="59" t="str">
        <f t="shared" si="25"/>
        <v/>
      </c>
      <c r="AE53" s="59" t="str">
        <f t="shared" si="25"/>
        <v/>
      </c>
      <c r="AF53" s="59" t="str">
        <f t="shared" si="25"/>
        <v/>
      </c>
      <c r="AG53" s="59" t="str">
        <f t="shared" si="25"/>
        <v/>
      </c>
      <c r="AH53" s="59" t="str">
        <f t="shared" si="26"/>
        <v/>
      </c>
      <c r="AI53" s="59" t="str">
        <f t="shared" si="26"/>
        <v/>
      </c>
      <c r="AJ53" s="59" t="str">
        <f t="shared" si="26"/>
        <v/>
      </c>
      <c r="AK53" s="59" t="str">
        <f t="shared" si="26"/>
        <v/>
      </c>
      <c r="AL53" s="59" t="str">
        <f t="shared" si="27"/>
        <v/>
      </c>
      <c r="AM53" s="65">
        <v>0</v>
      </c>
      <c r="AO53" s="58"/>
      <c r="AP53" s="59">
        <f t="shared" si="13"/>
        <v>0</v>
      </c>
      <c r="AQ53" s="59">
        <f t="shared" si="14"/>
        <v>0</v>
      </c>
      <c r="AR53" s="59">
        <f t="shared" si="15"/>
        <v>0</v>
      </c>
      <c r="AS53" s="59">
        <f t="shared" si="16"/>
        <v>0</v>
      </c>
      <c r="AT53" s="59">
        <f t="shared" si="17"/>
        <v>0</v>
      </c>
      <c r="AU53" s="59">
        <f t="shared" si="18"/>
        <v>0</v>
      </c>
      <c r="AV53" s="59">
        <f t="shared" si="19"/>
        <v>0</v>
      </c>
      <c r="AW53" s="59">
        <f t="shared" si="20"/>
        <v>0</v>
      </c>
      <c r="AX53" s="59">
        <f t="shared" si="21"/>
        <v>0</v>
      </c>
      <c r="AY53" s="59">
        <f t="shared" si="22"/>
        <v>0</v>
      </c>
      <c r="AZ53" s="65">
        <f t="shared" si="23"/>
        <v>0</v>
      </c>
    </row>
    <row r="54" spans="1:52">
      <c r="A54" s="515" t="s">
        <v>141</v>
      </c>
      <c r="B54" s="495"/>
      <c r="C54" s="496"/>
      <c r="D54" s="496"/>
      <c r="E54" s="496"/>
      <c r="F54" s="496"/>
      <c r="G54" s="496"/>
      <c r="H54" s="496">
        <v>23684</v>
      </c>
      <c r="I54" s="496">
        <v>8377</v>
      </c>
      <c r="J54" s="496">
        <v>45136</v>
      </c>
      <c r="K54" s="496">
        <v>91645</v>
      </c>
      <c r="L54" s="497">
        <v>153450</v>
      </c>
      <c r="M54" s="463"/>
      <c r="O54" s="58">
        <f t="shared" si="1"/>
        <v>0</v>
      </c>
      <c r="P54" s="59">
        <f t="shared" si="2"/>
        <v>0</v>
      </c>
      <c r="Q54" s="59">
        <f t="shared" si="3"/>
        <v>0</v>
      </c>
      <c r="R54" s="59">
        <f t="shared" si="4"/>
        <v>0</v>
      </c>
      <c r="S54" s="59">
        <f t="shared" si="5"/>
        <v>0</v>
      </c>
      <c r="T54" s="59">
        <f t="shared" si="6"/>
        <v>0</v>
      </c>
      <c r="U54" s="59">
        <f t="shared" si="7"/>
        <v>5.0493880207383933E-4</v>
      </c>
      <c r="V54" s="59">
        <f t="shared" si="8"/>
        <v>6.6525828647016094E-5</v>
      </c>
      <c r="W54" s="59">
        <f t="shared" si="9"/>
        <v>6.9531595575426789E-4</v>
      </c>
      <c r="X54" s="59">
        <f t="shared" si="10"/>
        <v>9.0190926549708092E-4</v>
      </c>
      <c r="Y54" s="60">
        <f t="shared" si="11"/>
        <v>9.6955335207575685E-4</v>
      </c>
      <c r="Z54" s="60">
        <f t="shared" si="24"/>
        <v>2.8529483673163283E-4</v>
      </c>
      <c r="AB54" s="68"/>
      <c r="AC54" s="59" t="str">
        <f t="shared" si="25"/>
        <v/>
      </c>
      <c r="AD54" s="59" t="str">
        <f t="shared" si="25"/>
        <v/>
      </c>
      <c r="AE54" s="59" t="str">
        <f t="shared" si="25"/>
        <v/>
      </c>
      <c r="AF54" s="59" t="str">
        <f t="shared" si="25"/>
        <v/>
      </c>
      <c r="AG54" s="59" t="str">
        <f t="shared" si="25"/>
        <v/>
      </c>
      <c r="AH54" s="59" t="str">
        <f t="shared" si="26"/>
        <v/>
      </c>
      <c r="AI54" s="59">
        <f t="shared" si="26"/>
        <v>-0.64630130045600409</v>
      </c>
      <c r="AJ54" s="59">
        <f t="shared" si="26"/>
        <v>4.3880864271218813</v>
      </c>
      <c r="AK54" s="59">
        <f t="shared" si="26"/>
        <v>1.0304191775965967</v>
      </c>
      <c r="AL54" s="59">
        <f t="shared" si="27"/>
        <v>0.67439576627202791</v>
      </c>
      <c r="AM54" s="65">
        <f t="shared" si="12"/>
        <v>1.3616500176336253</v>
      </c>
      <c r="AO54" s="58"/>
      <c r="AP54" s="59">
        <f t="shared" si="13"/>
        <v>0</v>
      </c>
      <c r="AQ54" s="59">
        <f t="shared" si="14"/>
        <v>0</v>
      </c>
      <c r="AR54" s="59">
        <f t="shared" si="15"/>
        <v>0</v>
      </c>
      <c r="AS54" s="59">
        <f t="shared" si="16"/>
        <v>0</v>
      </c>
      <c r="AT54" s="59">
        <f t="shared" si="17"/>
        <v>0</v>
      </c>
      <c r="AU54" s="59">
        <f t="shared" si="18"/>
        <v>0</v>
      </c>
      <c r="AV54" s="59">
        <f t="shared" si="19"/>
        <v>-0.66146755403522595</v>
      </c>
      <c r="AW54" s="59">
        <f t="shared" si="20"/>
        <v>4.0980096765274689</v>
      </c>
      <c r="AX54" s="59">
        <f t="shared" si="21"/>
        <v>0.88577986216828908</v>
      </c>
      <c r="AY54" s="59">
        <f t="shared" si="22"/>
        <v>0.64156447673728234</v>
      </c>
      <c r="AZ54" s="65">
        <f t="shared" si="23"/>
        <v>0.49638864613978145</v>
      </c>
    </row>
    <row r="55" spans="1:52" ht="38.25">
      <c r="A55" s="515" t="s">
        <v>142</v>
      </c>
      <c r="B55" s="495"/>
      <c r="C55" s="496"/>
      <c r="D55" s="496"/>
      <c r="E55" s="496"/>
      <c r="F55" s="496"/>
      <c r="G55" s="496"/>
      <c r="H55" s="496">
        <v>8584</v>
      </c>
      <c r="I55" s="496"/>
      <c r="J55" s="496">
        <v>47234</v>
      </c>
      <c r="K55" s="496">
        <v>86857</v>
      </c>
      <c r="L55" s="497">
        <v>155581</v>
      </c>
      <c r="M55" s="463"/>
      <c r="O55" s="58">
        <f t="shared" si="1"/>
        <v>0</v>
      </c>
      <c r="P55" s="59">
        <f t="shared" si="2"/>
        <v>0</v>
      </c>
      <c r="Q55" s="59">
        <f t="shared" si="3"/>
        <v>0</v>
      </c>
      <c r="R55" s="59">
        <f t="shared" si="4"/>
        <v>0</v>
      </c>
      <c r="S55" s="59">
        <f t="shared" si="5"/>
        <v>0</v>
      </c>
      <c r="T55" s="59">
        <f t="shared" si="6"/>
        <v>0</v>
      </c>
      <c r="U55" s="59">
        <f t="shared" si="7"/>
        <v>1.8300940200142868E-4</v>
      </c>
      <c r="V55" s="59">
        <f t="shared" si="8"/>
        <v>0</v>
      </c>
      <c r="W55" s="59">
        <f t="shared" si="9"/>
        <v>7.2763545405213337E-4</v>
      </c>
      <c r="X55" s="59">
        <f t="shared" si="10"/>
        <v>8.5478894727786519E-4</v>
      </c>
      <c r="Y55" s="60">
        <f t="shared" si="11"/>
        <v>9.8301779126294111E-4</v>
      </c>
      <c r="Z55" s="60">
        <f t="shared" si="24"/>
        <v>2.4985923587221532E-4</v>
      </c>
      <c r="AB55" s="68"/>
      <c r="AC55" s="59" t="str">
        <f t="shared" si="25"/>
        <v/>
      </c>
      <c r="AD55" s="59" t="str">
        <f t="shared" si="25"/>
        <v/>
      </c>
      <c r="AE55" s="59" t="str">
        <f t="shared" si="25"/>
        <v/>
      </c>
      <c r="AF55" s="59" t="str">
        <f t="shared" si="25"/>
        <v/>
      </c>
      <c r="AG55" s="59" t="str">
        <f t="shared" si="25"/>
        <v/>
      </c>
      <c r="AH55" s="59" t="str">
        <f t="shared" si="26"/>
        <v/>
      </c>
      <c r="AI55" s="59">
        <f t="shared" si="26"/>
        <v>-1</v>
      </c>
      <c r="AJ55" s="59" t="str">
        <f t="shared" si="26"/>
        <v/>
      </c>
      <c r="AK55" s="59">
        <f t="shared" si="26"/>
        <v>0.83886607105051447</v>
      </c>
      <c r="AL55" s="59">
        <f t="shared" si="27"/>
        <v>0.79123156452559962</v>
      </c>
      <c r="AM55" s="65">
        <f t="shared" si="12"/>
        <v>0.21003254519203804</v>
      </c>
      <c r="AO55" s="58"/>
      <c r="AP55" s="59">
        <f t="shared" si="13"/>
        <v>0</v>
      </c>
      <c r="AQ55" s="59">
        <f t="shared" si="14"/>
        <v>0</v>
      </c>
      <c r="AR55" s="59">
        <f t="shared" si="15"/>
        <v>0</v>
      </c>
      <c r="AS55" s="59">
        <f t="shared" si="16"/>
        <v>0</v>
      </c>
      <c r="AT55" s="59">
        <f t="shared" si="17"/>
        <v>0</v>
      </c>
      <c r="AU55" s="59">
        <f t="shared" si="18"/>
        <v>0</v>
      </c>
      <c r="AV55" s="59">
        <f t="shared" si="19"/>
        <v>-1</v>
      </c>
      <c r="AW55" s="59">
        <f t="shared" si="20"/>
        <v>0</v>
      </c>
      <c r="AX55" s="59">
        <f t="shared" si="21"/>
        <v>0.70787226808815307</v>
      </c>
      <c r="AY55" s="59">
        <f t="shared" si="22"/>
        <v>0.75610937698588199</v>
      </c>
      <c r="AZ55" s="65">
        <f t="shared" si="23"/>
        <v>4.6398164507403507E-2</v>
      </c>
    </row>
    <row r="56" spans="1:52" ht="25.5">
      <c r="A56" s="515" t="s">
        <v>144</v>
      </c>
      <c r="B56" s="495">
        <v>6405</v>
      </c>
      <c r="C56" s="496">
        <v>6564</v>
      </c>
      <c r="D56" s="496">
        <v>4643</v>
      </c>
      <c r="E56" s="496">
        <v>4643</v>
      </c>
      <c r="F56" s="496">
        <v>1530594</v>
      </c>
      <c r="G56" s="496">
        <v>454496</v>
      </c>
      <c r="H56" s="496">
        <v>757687</v>
      </c>
      <c r="I56" s="496">
        <v>474158</v>
      </c>
      <c r="J56" s="496">
        <v>490861</v>
      </c>
      <c r="K56" s="496">
        <v>497987</v>
      </c>
      <c r="L56" s="497">
        <v>980484</v>
      </c>
      <c r="M56" s="463"/>
      <c r="O56" s="58">
        <f t="shared" si="1"/>
        <v>1.6014534646626854E-4</v>
      </c>
      <c r="P56" s="59">
        <f t="shared" si="2"/>
        <v>3.2310002761412485E-4</v>
      </c>
      <c r="Q56" s="59">
        <f t="shared" si="3"/>
        <v>4.6257510369582863E-4</v>
      </c>
      <c r="R56" s="59">
        <f t="shared" si="4"/>
        <v>2.9787712347317927E-4</v>
      </c>
      <c r="S56" s="59">
        <f t="shared" si="5"/>
        <v>6.8104502243172466E-2</v>
      </c>
      <c r="T56" s="59">
        <f t="shared" si="6"/>
        <v>1.8517281155182131E-2</v>
      </c>
      <c r="U56" s="59">
        <f t="shared" si="7"/>
        <v>1.6153756380971166E-2</v>
      </c>
      <c r="V56" s="59">
        <f t="shared" si="8"/>
        <v>3.7655191428449153E-3</v>
      </c>
      <c r="W56" s="59">
        <f t="shared" si="9"/>
        <v>7.5616688531880477E-3</v>
      </c>
      <c r="X56" s="59">
        <f t="shared" si="10"/>
        <v>4.900857541569042E-3</v>
      </c>
      <c r="Y56" s="60">
        <f t="shared" si="11"/>
        <v>6.1950573402192663E-3</v>
      </c>
      <c r="Z56" s="60">
        <f t="shared" si="24"/>
        <v>1.1494758205308766E-2</v>
      </c>
      <c r="AB56" s="68"/>
      <c r="AC56" s="59">
        <f t="shared" si="25"/>
        <v>2.4824355971897027E-2</v>
      </c>
      <c r="AD56" s="59">
        <f t="shared" si="25"/>
        <v>-0.29265691651432058</v>
      </c>
      <c r="AE56" s="59">
        <f t="shared" si="25"/>
        <v>0</v>
      </c>
      <c r="AF56" s="59">
        <f t="shared" si="25"/>
        <v>328.65625673056212</v>
      </c>
      <c r="AG56" s="59">
        <f t="shared" si="25"/>
        <v>-0.70305907379749299</v>
      </c>
      <c r="AH56" s="59">
        <f t="shared" si="26"/>
        <v>0.66709277969443082</v>
      </c>
      <c r="AI56" s="59">
        <f t="shared" si="26"/>
        <v>-0.3742033319827317</v>
      </c>
      <c r="AJ56" s="59">
        <f t="shared" si="26"/>
        <v>3.5226654406337099E-2</v>
      </c>
      <c r="AK56" s="59">
        <f t="shared" si="26"/>
        <v>1.4517348088358917E-2</v>
      </c>
      <c r="AL56" s="59">
        <f t="shared" si="27"/>
        <v>0.96889477034541072</v>
      </c>
      <c r="AM56" s="65">
        <f t="shared" si="12"/>
        <v>32.899689331677401</v>
      </c>
      <c r="AO56" s="58"/>
      <c r="AP56" s="59">
        <f t="shared" si="13"/>
        <v>-5.7632776117795714E-2</v>
      </c>
      <c r="AQ56" s="59">
        <f t="shared" si="14"/>
        <v>-0.34292328519676785</v>
      </c>
      <c r="AR56" s="59">
        <f t="shared" si="15"/>
        <v>-6.5333208711094604E-2</v>
      </c>
      <c r="AS56" s="59">
        <f t="shared" si="16"/>
        <v>308.56545847550206</v>
      </c>
      <c r="AT56" s="59">
        <f t="shared" si="17"/>
        <v>-0.71853279703704653</v>
      </c>
      <c r="AU56" s="59">
        <f t="shared" si="18"/>
        <v>0.5899397134369726</v>
      </c>
      <c r="AV56" s="59">
        <f t="shared" si="19"/>
        <v>-0.40103687976907698</v>
      </c>
      <c r="AW56" s="59">
        <f t="shared" si="20"/>
        <v>-2.0506524357709166E-2</v>
      </c>
      <c r="AX56" s="59">
        <f t="shared" si="21"/>
        <v>-5.7752997038767573E-2</v>
      </c>
      <c r="AY56" s="59">
        <f t="shared" si="22"/>
        <v>0.93028899053471625</v>
      </c>
      <c r="AZ56" s="65">
        <f t="shared" si="23"/>
        <v>30.84219687112455</v>
      </c>
    </row>
    <row r="57" spans="1:52" ht="38.25">
      <c r="A57" s="515" t="s">
        <v>24</v>
      </c>
      <c r="B57" s="495">
        <v>25594</v>
      </c>
      <c r="C57" s="496">
        <v>498305</v>
      </c>
      <c r="D57" s="496">
        <v>67105</v>
      </c>
      <c r="E57" s="496">
        <v>75590</v>
      </c>
      <c r="F57" s="496">
        <v>80579</v>
      </c>
      <c r="G57" s="496">
        <v>305798</v>
      </c>
      <c r="H57" s="496">
        <v>65330</v>
      </c>
      <c r="I57" s="496">
        <v>456080</v>
      </c>
      <c r="J57" s="496">
        <v>10812</v>
      </c>
      <c r="K57" s="496">
        <v>68452</v>
      </c>
      <c r="L57" s="497">
        <v>222877</v>
      </c>
      <c r="M57" s="463"/>
      <c r="O57" s="58">
        <f t="shared" si="1"/>
        <v>6.3993130327208068E-4</v>
      </c>
      <c r="P57" s="59">
        <f t="shared" si="2"/>
        <v>2.4528086419905011E-2</v>
      </c>
      <c r="Q57" s="59">
        <f t="shared" si="3"/>
        <v>6.6855701773656214E-3</v>
      </c>
      <c r="R57" s="59">
        <f t="shared" si="4"/>
        <v>4.8495653162476029E-3</v>
      </c>
      <c r="S57" s="59">
        <f t="shared" si="5"/>
        <v>3.585400626327161E-3</v>
      </c>
      <c r="T57" s="59">
        <f t="shared" si="6"/>
        <v>1.2458960128785258E-2</v>
      </c>
      <c r="U57" s="59">
        <f t="shared" si="7"/>
        <v>1.3928243514391117E-3</v>
      </c>
      <c r="V57" s="59">
        <f t="shared" si="8"/>
        <v>3.6219529580197086E-3</v>
      </c>
      <c r="W57" s="59">
        <f t="shared" si="9"/>
        <v>1.6655787206697856E-4</v>
      </c>
      <c r="X57" s="59">
        <f t="shared" si="10"/>
        <v>6.7365915261941391E-4</v>
      </c>
      <c r="Y57" s="60">
        <f t="shared" si="11"/>
        <v>1.4082185887949721E-3</v>
      </c>
      <c r="Z57" s="60">
        <f t="shared" si="24"/>
        <v>5.4555206268039023E-3</v>
      </c>
      <c r="AB57" s="68"/>
      <c r="AC57" s="59">
        <f t="shared" si="25"/>
        <v>18.469602250527469</v>
      </c>
      <c r="AD57" s="59">
        <f t="shared" si="25"/>
        <v>-0.86533348049889125</v>
      </c>
      <c r="AE57" s="59">
        <f t="shared" si="25"/>
        <v>0.12644363311228668</v>
      </c>
      <c r="AF57" s="59">
        <f t="shared" si="25"/>
        <v>6.6000793755787823E-2</v>
      </c>
      <c r="AG57" s="59">
        <f t="shared" si="25"/>
        <v>2.7950086250760124</v>
      </c>
      <c r="AH57" s="59">
        <f t="shared" si="26"/>
        <v>-0.78636223912517411</v>
      </c>
      <c r="AI57" s="59">
        <f t="shared" si="26"/>
        <v>5.9811725088014693</v>
      </c>
      <c r="AJ57" s="59">
        <f t="shared" si="26"/>
        <v>-0.97629363269601821</v>
      </c>
      <c r="AK57" s="59">
        <f t="shared" si="26"/>
        <v>5.331113577506474</v>
      </c>
      <c r="AL57" s="59">
        <f t="shared" si="27"/>
        <v>2.2559603809969029</v>
      </c>
      <c r="AM57" s="65">
        <f t="shared" si="12"/>
        <v>3.2397312417456319</v>
      </c>
      <c r="AO57" s="58"/>
      <c r="AP57" s="59">
        <f t="shared" si="13"/>
        <v>16.903082529220661</v>
      </c>
      <c r="AQ57" s="59">
        <f t="shared" si="14"/>
        <v>-0.87490337250245354</v>
      </c>
      <c r="AR57" s="59">
        <f t="shared" si="15"/>
        <v>5.2849456128877925E-2</v>
      </c>
      <c r="AS57" s="59">
        <f t="shared" si="16"/>
        <v>1.0337062219811788E-3</v>
      </c>
      <c r="AT57" s="59">
        <f t="shared" si="17"/>
        <v>2.5972490440470994</v>
      </c>
      <c r="AU57" s="59">
        <f t="shared" si="18"/>
        <v>-0.79624939628921132</v>
      </c>
      <c r="AV57" s="59">
        <f t="shared" si="19"/>
        <v>5.6818266738145766</v>
      </c>
      <c r="AW57" s="59">
        <f t="shared" si="20"/>
        <v>-0.97756990509605279</v>
      </c>
      <c r="AX57" s="59">
        <f t="shared" si="21"/>
        <v>4.8801092017335135</v>
      </c>
      <c r="AY57" s="59">
        <f t="shared" si="22"/>
        <v>2.1921180205851987</v>
      </c>
      <c r="AZ57" s="65">
        <f t="shared" si="23"/>
        <v>2.9659545957864193</v>
      </c>
    </row>
    <row r="58" spans="1:52" ht="25.5">
      <c r="A58" s="515" t="s">
        <v>145</v>
      </c>
      <c r="B58" s="495">
        <v>1732159</v>
      </c>
      <c r="C58" s="496">
        <v>27342</v>
      </c>
      <c r="D58" s="496"/>
      <c r="E58" s="496">
        <v>8579</v>
      </c>
      <c r="F58" s="496">
        <v>42774</v>
      </c>
      <c r="G58" s="496">
        <v>68499</v>
      </c>
      <c r="H58" s="496">
        <v>99439</v>
      </c>
      <c r="I58" s="496">
        <v>690169</v>
      </c>
      <c r="J58" s="496">
        <v>1124749</v>
      </c>
      <c r="K58" s="496">
        <v>833594</v>
      </c>
      <c r="L58" s="497">
        <v>3929230</v>
      </c>
      <c r="M58" s="463"/>
      <c r="O58" s="58">
        <f t="shared" si="1"/>
        <v>4.3309477469112449E-2</v>
      </c>
      <c r="P58" s="59">
        <f t="shared" si="2"/>
        <v>1.3458563307473189E-3</v>
      </c>
      <c r="Q58" s="59">
        <f t="shared" si="3"/>
        <v>0</v>
      </c>
      <c r="R58" s="59">
        <f t="shared" si="4"/>
        <v>5.5039583077243269E-4</v>
      </c>
      <c r="S58" s="59">
        <f t="shared" si="5"/>
        <v>1.9032493129787908E-3</v>
      </c>
      <c r="T58" s="59">
        <f t="shared" si="6"/>
        <v>2.7908171729758252E-3</v>
      </c>
      <c r="U58" s="59">
        <f t="shared" si="7"/>
        <v>2.1200223585298309E-3</v>
      </c>
      <c r="V58" s="59">
        <f t="shared" si="8"/>
        <v>5.4809674861504652E-3</v>
      </c>
      <c r="W58" s="59">
        <f t="shared" si="9"/>
        <v>1.7326655572462272E-2</v>
      </c>
      <c r="X58" s="59">
        <f t="shared" si="10"/>
        <v>8.2036788942416242E-3</v>
      </c>
      <c r="Y58" s="60">
        <f t="shared" si="11"/>
        <v>2.4826315526729398E-2</v>
      </c>
      <c r="Z58" s="60">
        <f t="shared" si="24"/>
        <v>9.8052214504273094E-3</v>
      </c>
      <c r="AB58" s="68"/>
      <c r="AC58" s="59">
        <f t="shared" si="25"/>
        <v>-0.98421507494404381</v>
      </c>
      <c r="AD58" s="59">
        <f t="shared" si="25"/>
        <v>-1</v>
      </c>
      <c r="AE58" s="59" t="str">
        <f t="shared" si="25"/>
        <v/>
      </c>
      <c r="AF58" s="59">
        <f t="shared" si="25"/>
        <v>3.9858957920503553</v>
      </c>
      <c r="AG58" s="59">
        <f t="shared" si="25"/>
        <v>0.60141674849207472</v>
      </c>
      <c r="AH58" s="59">
        <f t="shared" si="26"/>
        <v>0.45168542606461415</v>
      </c>
      <c r="AI58" s="59">
        <f t="shared" si="26"/>
        <v>5.940626917004395</v>
      </c>
      <c r="AJ58" s="59">
        <f t="shared" si="26"/>
        <v>0.62967186297848787</v>
      </c>
      <c r="AK58" s="59">
        <f t="shared" si="26"/>
        <v>-0.25886219947739453</v>
      </c>
      <c r="AL58" s="59">
        <f t="shared" si="27"/>
        <v>3.7136015854240796</v>
      </c>
      <c r="AM58" s="65">
        <f t="shared" si="12"/>
        <v>1.4533134508436187</v>
      </c>
      <c r="AO58" s="58"/>
      <c r="AP58" s="59">
        <f t="shared" si="13"/>
        <v>-0.98548512638532759</v>
      </c>
      <c r="AQ58" s="59">
        <f t="shared" si="14"/>
        <v>-1</v>
      </c>
      <c r="AR58" s="59">
        <f t="shared" si="15"/>
        <v>0</v>
      </c>
      <c r="AS58" s="59">
        <f t="shared" si="16"/>
        <v>3.6820319204153966</v>
      </c>
      <c r="AT58" s="59">
        <f t="shared" si="17"/>
        <v>0.51796621213706628</v>
      </c>
      <c r="AU58" s="59">
        <f t="shared" si="18"/>
        <v>0.38450141373707059</v>
      </c>
      <c r="AV58" s="59">
        <f t="shared" si="19"/>
        <v>5.6430196372553558</v>
      </c>
      <c r="AW58" s="59">
        <f t="shared" si="20"/>
        <v>0.54193572048300487</v>
      </c>
      <c r="AX58" s="59">
        <f t="shared" si="21"/>
        <v>-0.31165802867780679</v>
      </c>
      <c r="AY58" s="59">
        <f t="shared" si="22"/>
        <v>3.6211780249255678</v>
      </c>
      <c r="AZ58" s="65">
        <f t="shared" si="23"/>
        <v>1.2093489773890327</v>
      </c>
    </row>
    <row r="59" spans="1:52" ht="51">
      <c r="A59" s="515" t="s">
        <v>147</v>
      </c>
      <c r="B59" s="495">
        <v>40639</v>
      </c>
      <c r="C59" s="496"/>
      <c r="D59" s="496"/>
      <c r="E59" s="496"/>
      <c r="F59" s="496"/>
      <c r="G59" s="496"/>
      <c r="H59" s="496"/>
      <c r="I59" s="496"/>
      <c r="J59" s="496"/>
      <c r="K59" s="496"/>
      <c r="L59" s="497"/>
      <c r="M59" s="463"/>
      <c r="O59" s="58">
        <f t="shared" si="1"/>
        <v>1.0161040960254E-3</v>
      </c>
      <c r="P59" s="59">
        <f t="shared" si="2"/>
        <v>0</v>
      </c>
      <c r="Q59" s="59">
        <f t="shared" si="3"/>
        <v>0</v>
      </c>
      <c r="R59" s="59">
        <f t="shared" si="4"/>
        <v>0</v>
      </c>
      <c r="S59" s="59">
        <f t="shared" si="5"/>
        <v>0</v>
      </c>
      <c r="T59" s="59">
        <f t="shared" si="6"/>
        <v>0</v>
      </c>
      <c r="U59" s="59">
        <f t="shared" si="7"/>
        <v>0</v>
      </c>
      <c r="V59" s="59">
        <f t="shared" si="8"/>
        <v>0</v>
      </c>
      <c r="W59" s="59">
        <f t="shared" si="9"/>
        <v>0</v>
      </c>
      <c r="X59" s="59">
        <f t="shared" si="10"/>
        <v>0</v>
      </c>
      <c r="Y59" s="60">
        <f t="shared" si="11"/>
        <v>0</v>
      </c>
      <c r="Z59" s="60">
        <f t="shared" si="24"/>
        <v>9.2373099638672724E-5</v>
      </c>
      <c r="AB59" s="68"/>
      <c r="AC59" s="59">
        <f t="shared" si="25"/>
        <v>-1</v>
      </c>
      <c r="AD59" s="59" t="str">
        <f t="shared" si="25"/>
        <v/>
      </c>
      <c r="AE59" s="59" t="str">
        <f t="shared" si="25"/>
        <v/>
      </c>
      <c r="AF59" s="59" t="str">
        <f t="shared" si="25"/>
        <v/>
      </c>
      <c r="AG59" s="59" t="str">
        <f t="shared" si="25"/>
        <v/>
      </c>
      <c r="AH59" s="59" t="str">
        <f t="shared" si="26"/>
        <v/>
      </c>
      <c r="AI59" s="59" t="str">
        <f t="shared" si="26"/>
        <v/>
      </c>
      <c r="AJ59" s="59" t="str">
        <f t="shared" si="26"/>
        <v/>
      </c>
      <c r="AK59" s="59" t="str">
        <f t="shared" si="26"/>
        <v/>
      </c>
      <c r="AL59" s="59" t="str">
        <f t="shared" si="27"/>
        <v/>
      </c>
      <c r="AM59" s="65">
        <f t="shared" si="12"/>
        <v>-1</v>
      </c>
      <c r="AO59" s="58"/>
      <c r="AP59" s="59">
        <f t="shared" si="13"/>
        <v>-1</v>
      </c>
      <c r="AQ59" s="59">
        <f t="shared" si="14"/>
        <v>0</v>
      </c>
      <c r="AR59" s="59">
        <f t="shared" si="15"/>
        <v>0</v>
      </c>
      <c r="AS59" s="59">
        <f t="shared" si="16"/>
        <v>0</v>
      </c>
      <c r="AT59" s="59">
        <f t="shared" si="17"/>
        <v>0</v>
      </c>
      <c r="AU59" s="59">
        <f t="shared" si="18"/>
        <v>0</v>
      </c>
      <c r="AV59" s="59">
        <f t="shared" si="19"/>
        <v>0</v>
      </c>
      <c r="AW59" s="59">
        <f t="shared" si="20"/>
        <v>0</v>
      </c>
      <c r="AX59" s="59">
        <f t="shared" si="21"/>
        <v>0</v>
      </c>
      <c r="AY59" s="59">
        <f t="shared" si="22"/>
        <v>0</v>
      </c>
      <c r="AZ59" s="65">
        <f t="shared" si="23"/>
        <v>-0.1</v>
      </c>
    </row>
    <row r="60" spans="1:52" ht="38.25">
      <c r="A60" s="515" t="s">
        <v>148</v>
      </c>
      <c r="B60" s="495"/>
      <c r="C60" s="496"/>
      <c r="D60" s="496"/>
      <c r="E60" s="496"/>
      <c r="F60" s="496"/>
      <c r="G60" s="496"/>
      <c r="H60" s="496"/>
      <c r="I60" s="496"/>
      <c r="J60" s="496"/>
      <c r="K60" s="496"/>
      <c r="L60" s="497">
        <v>1692642</v>
      </c>
      <c r="M60" s="463"/>
      <c r="O60" s="58">
        <f t="shared" si="1"/>
        <v>0</v>
      </c>
      <c r="P60" s="59">
        <f t="shared" si="2"/>
        <v>0</v>
      </c>
      <c r="Q60" s="59">
        <f t="shared" si="3"/>
        <v>0</v>
      </c>
      <c r="R60" s="59">
        <f t="shared" si="4"/>
        <v>0</v>
      </c>
      <c r="S60" s="59">
        <f t="shared" si="5"/>
        <v>0</v>
      </c>
      <c r="T60" s="59">
        <f t="shared" si="6"/>
        <v>0</v>
      </c>
      <c r="U60" s="59">
        <f t="shared" si="7"/>
        <v>0</v>
      </c>
      <c r="V60" s="59">
        <f t="shared" si="8"/>
        <v>0</v>
      </c>
      <c r="W60" s="59">
        <f t="shared" si="9"/>
        <v>0</v>
      </c>
      <c r="X60" s="59">
        <f t="shared" si="10"/>
        <v>0</v>
      </c>
      <c r="Y60" s="60">
        <f t="shared" si="11"/>
        <v>1.0694732648838145E-2</v>
      </c>
      <c r="Z60" s="60">
        <f t="shared" si="24"/>
        <v>9.7224842262164958E-4</v>
      </c>
      <c r="AB60" s="68"/>
      <c r="AC60" s="59" t="str">
        <f t="shared" si="25"/>
        <v/>
      </c>
      <c r="AD60" s="59" t="str">
        <f t="shared" si="25"/>
        <v/>
      </c>
      <c r="AE60" s="59" t="str">
        <f t="shared" si="25"/>
        <v/>
      </c>
      <c r="AF60" s="59" t="str">
        <f t="shared" si="25"/>
        <v/>
      </c>
      <c r="AG60" s="59" t="str">
        <f t="shared" si="25"/>
        <v/>
      </c>
      <c r="AH60" s="59" t="str">
        <f t="shared" si="26"/>
        <v/>
      </c>
      <c r="AI60" s="59" t="str">
        <f t="shared" si="26"/>
        <v/>
      </c>
      <c r="AJ60" s="59" t="str">
        <f t="shared" si="26"/>
        <v/>
      </c>
      <c r="AK60" s="59" t="str">
        <f t="shared" si="26"/>
        <v/>
      </c>
      <c r="AL60" s="59" t="str">
        <f t="shared" si="27"/>
        <v/>
      </c>
      <c r="AM60" s="65">
        <v>0</v>
      </c>
      <c r="AO60" s="58"/>
      <c r="AP60" s="59">
        <f t="shared" si="13"/>
        <v>0</v>
      </c>
      <c r="AQ60" s="59">
        <f t="shared" si="14"/>
        <v>0</v>
      </c>
      <c r="AR60" s="59">
        <f t="shared" si="15"/>
        <v>0</v>
      </c>
      <c r="AS60" s="59">
        <f t="shared" si="16"/>
        <v>0</v>
      </c>
      <c r="AT60" s="59">
        <f t="shared" si="17"/>
        <v>0</v>
      </c>
      <c r="AU60" s="59">
        <f t="shared" si="18"/>
        <v>0</v>
      </c>
      <c r="AV60" s="59">
        <f t="shared" si="19"/>
        <v>0</v>
      </c>
      <c r="AW60" s="59">
        <f t="shared" si="20"/>
        <v>0</v>
      </c>
      <c r="AX60" s="59">
        <f t="shared" si="21"/>
        <v>0</v>
      </c>
      <c r="AY60" s="59">
        <f t="shared" si="22"/>
        <v>0</v>
      </c>
      <c r="AZ60" s="65">
        <f t="shared" si="23"/>
        <v>0</v>
      </c>
    </row>
    <row r="61" spans="1:52" ht="25.5">
      <c r="A61" s="515" t="s">
        <v>25</v>
      </c>
      <c r="B61" s="495">
        <v>1798392</v>
      </c>
      <c r="C61" s="496">
        <v>525647</v>
      </c>
      <c r="D61" s="496">
        <v>67105</v>
      </c>
      <c r="E61" s="496">
        <v>84169</v>
      </c>
      <c r="F61" s="496">
        <v>123353</v>
      </c>
      <c r="G61" s="496">
        <v>374297</v>
      </c>
      <c r="H61" s="496">
        <v>164769</v>
      </c>
      <c r="I61" s="496">
        <v>1146249</v>
      </c>
      <c r="J61" s="496">
        <v>1135561</v>
      </c>
      <c r="K61" s="496">
        <v>902046</v>
      </c>
      <c r="L61" s="497">
        <v>2459465</v>
      </c>
      <c r="M61" s="463"/>
      <c r="O61" s="58">
        <f t="shared" si="1"/>
        <v>4.4965512868409933E-2</v>
      </c>
      <c r="P61" s="59">
        <f t="shared" si="2"/>
        <v>2.5873942750652329E-2</v>
      </c>
      <c r="Q61" s="59">
        <f t="shared" si="3"/>
        <v>6.6855701773656214E-3</v>
      </c>
      <c r="R61" s="59">
        <f t="shared" si="4"/>
        <v>5.399961147020035E-3</v>
      </c>
      <c r="S61" s="59">
        <f t="shared" si="5"/>
        <v>5.4886499393059516E-3</v>
      </c>
      <c r="T61" s="59">
        <f t="shared" si="6"/>
        <v>1.5249777301761084E-2</v>
      </c>
      <c r="U61" s="59">
        <f t="shared" si="7"/>
        <v>3.5128467099689426E-3</v>
      </c>
      <c r="V61" s="59">
        <f t="shared" si="8"/>
        <v>9.1029204441701733E-3</v>
      </c>
      <c r="W61" s="59">
        <f t="shared" si="9"/>
        <v>1.7493213444529251E-2</v>
      </c>
      <c r="X61" s="59">
        <f t="shared" si="10"/>
        <v>8.8773380468610379E-3</v>
      </c>
      <c r="Y61" s="60">
        <f t="shared" si="11"/>
        <v>1.5539801466686225E-2</v>
      </c>
      <c r="Z61" s="60">
        <f t="shared" si="24"/>
        <v>1.4380866754248234E-2</v>
      </c>
      <c r="AB61" s="68"/>
      <c r="AC61" s="59">
        <f t="shared" si="25"/>
        <v>-0.7077127789714367</v>
      </c>
      <c r="AD61" s="59">
        <f t="shared" si="25"/>
        <v>-0.87233828025271709</v>
      </c>
      <c r="AE61" s="59">
        <f t="shared" si="25"/>
        <v>0.25428805603159232</v>
      </c>
      <c r="AF61" s="59">
        <f t="shared" si="25"/>
        <v>0.46553956920006168</v>
      </c>
      <c r="AG61" s="59">
        <f t="shared" ref="AG61:AJ124" si="28">+IF(F61=0,"",G61/F61-1)</f>
        <v>2.0343566836639564</v>
      </c>
      <c r="AH61" s="59">
        <f t="shared" si="26"/>
        <v>-0.55979075440091686</v>
      </c>
      <c r="AI61" s="59">
        <f t="shared" si="26"/>
        <v>5.9567030205924656</v>
      </c>
      <c r="AJ61" s="59">
        <f t="shared" si="26"/>
        <v>-9.3243265642979356E-3</v>
      </c>
      <c r="AK61" s="59">
        <f t="shared" si="26"/>
        <v>-0.20563844654756547</v>
      </c>
      <c r="AL61" s="59">
        <f t="shared" si="27"/>
        <v>1.7265405533642411</v>
      </c>
      <c r="AM61" s="65">
        <f t="shared" si="12"/>
        <v>0.80826232961153832</v>
      </c>
      <c r="AO61" s="58"/>
      <c r="AP61" s="59">
        <f t="shared" si="13"/>
        <v>-0.73123014158293032</v>
      </c>
      <c r="AQ61" s="59">
        <f t="shared" si="14"/>
        <v>-0.88141038574335073</v>
      </c>
      <c r="AR61" s="59">
        <f t="shared" si="15"/>
        <v>0.17234139268304727</v>
      </c>
      <c r="AS61" s="59">
        <f t="shared" si="16"/>
        <v>0.37622271499677118</v>
      </c>
      <c r="AT61" s="59">
        <f t="shared" si="17"/>
        <v>1.8762350123484803</v>
      </c>
      <c r="AU61" s="59">
        <f t="shared" si="18"/>
        <v>-0.58016364156504763</v>
      </c>
      <c r="AV61" s="59">
        <f t="shared" si="19"/>
        <v>5.6584064132776284</v>
      </c>
      <c r="AW61" s="59">
        <f t="shared" si="20"/>
        <v>-6.2659027878037565E-2</v>
      </c>
      <c r="AX61" s="59">
        <f t="shared" si="21"/>
        <v>-0.26222573283882744</v>
      </c>
      <c r="AY61" s="59">
        <f t="shared" si="22"/>
        <v>1.6730789738865108</v>
      </c>
      <c r="AZ61" s="65">
        <f t="shared" si="23"/>
        <v>0.72385955775842437</v>
      </c>
    </row>
    <row r="62" spans="1:52">
      <c r="A62" s="515" t="s">
        <v>150</v>
      </c>
      <c r="B62" s="495">
        <v>51502</v>
      </c>
      <c r="C62" s="496">
        <v>56023</v>
      </c>
      <c r="D62" s="496">
        <v>75849</v>
      </c>
      <c r="E62" s="496">
        <v>87430</v>
      </c>
      <c r="F62" s="496"/>
      <c r="G62" s="496"/>
      <c r="H62" s="496">
        <v>153331</v>
      </c>
      <c r="I62" s="496"/>
      <c r="J62" s="496">
        <v>15574</v>
      </c>
      <c r="K62" s="496">
        <v>2109</v>
      </c>
      <c r="L62" s="497">
        <v>9000</v>
      </c>
      <c r="M62" s="463"/>
      <c r="O62" s="58">
        <f t="shared" si="1"/>
        <v>1.2877136040133899E-3</v>
      </c>
      <c r="P62" s="59">
        <f t="shared" si="2"/>
        <v>2.7576223106377386E-3</v>
      </c>
      <c r="Q62" s="59">
        <f t="shared" si="3"/>
        <v>7.5567217403025855E-3</v>
      </c>
      <c r="R62" s="59">
        <f t="shared" si="4"/>
        <v>5.609174435765682E-3</v>
      </c>
      <c r="S62" s="59">
        <f t="shared" si="5"/>
        <v>0</v>
      </c>
      <c r="T62" s="59">
        <f t="shared" si="6"/>
        <v>0</v>
      </c>
      <c r="U62" s="59">
        <f t="shared" si="7"/>
        <v>3.2689905193710464E-3</v>
      </c>
      <c r="V62" s="59">
        <f t="shared" si="8"/>
        <v>0</v>
      </c>
      <c r="W62" s="59">
        <f t="shared" si="9"/>
        <v>2.3991604694516503E-4</v>
      </c>
      <c r="X62" s="59">
        <f t="shared" si="10"/>
        <v>2.0755378263225965E-5</v>
      </c>
      <c r="Y62" s="60">
        <f t="shared" si="11"/>
        <v>5.6865299241979874E-5</v>
      </c>
      <c r="Z62" s="60">
        <f t="shared" si="24"/>
        <v>1.8907053940491652E-3</v>
      </c>
      <c r="AB62" s="68"/>
      <c r="AC62" s="59">
        <f t="shared" si="25"/>
        <v>8.7782998718496374E-2</v>
      </c>
      <c r="AD62" s="59">
        <f t="shared" si="25"/>
        <v>0.35389036645663396</v>
      </c>
      <c r="AE62" s="59">
        <f t="shared" si="25"/>
        <v>0.15268493981463171</v>
      </c>
      <c r="AF62" s="59">
        <f t="shared" si="25"/>
        <v>-1</v>
      </c>
      <c r="AG62" s="59" t="str">
        <f t="shared" si="28"/>
        <v/>
      </c>
      <c r="AH62" s="59" t="str">
        <f t="shared" si="26"/>
        <v/>
      </c>
      <c r="AI62" s="59">
        <f t="shared" si="26"/>
        <v>-1</v>
      </c>
      <c r="AJ62" s="59" t="str">
        <f t="shared" si="26"/>
        <v/>
      </c>
      <c r="AK62" s="59">
        <f t="shared" si="26"/>
        <v>-0.8645819956337486</v>
      </c>
      <c r="AL62" s="59">
        <f t="shared" si="27"/>
        <v>3.2674253200568986</v>
      </c>
      <c r="AM62" s="65">
        <f t="shared" si="12"/>
        <v>0.14245737563041599</v>
      </c>
      <c r="AO62" s="58"/>
      <c r="AP62" s="59">
        <f t="shared" si="13"/>
        <v>2.6022870666331244E-4</v>
      </c>
      <c r="AQ62" s="59">
        <f t="shared" si="14"/>
        <v>0.25767799949524761</v>
      </c>
      <c r="AR62" s="59">
        <f t="shared" si="15"/>
        <v>7.7376334063586905E-2</v>
      </c>
      <c r="AS62" s="59">
        <f t="shared" si="16"/>
        <v>-1</v>
      </c>
      <c r="AT62" s="59">
        <f t="shared" si="17"/>
        <v>0</v>
      </c>
      <c r="AU62" s="59">
        <f t="shared" si="18"/>
        <v>0</v>
      </c>
      <c r="AV62" s="59">
        <f t="shared" si="19"/>
        <v>-1</v>
      </c>
      <c r="AW62" s="59">
        <f t="shared" si="20"/>
        <v>0</v>
      </c>
      <c r="AX62" s="59">
        <f t="shared" si="21"/>
        <v>-0.87422865759612578</v>
      </c>
      <c r="AY62" s="59">
        <f t="shared" si="22"/>
        <v>3.1837503137812728</v>
      </c>
      <c r="AZ62" s="65">
        <f t="shared" si="23"/>
        <v>6.4483621845064482E-2</v>
      </c>
    </row>
    <row r="63" spans="1:52" ht="25.5">
      <c r="A63" s="515" t="s">
        <v>152</v>
      </c>
      <c r="B63" s="495">
        <v>51502</v>
      </c>
      <c r="C63" s="496">
        <v>56023</v>
      </c>
      <c r="D63" s="496">
        <v>75849</v>
      </c>
      <c r="E63" s="496">
        <v>87430</v>
      </c>
      <c r="F63" s="496"/>
      <c r="G63" s="496"/>
      <c r="H63" s="496">
        <v>153331</v>
      </c>
      <c r="I63" s="496"/>
      <c r="J63" s="496">
        <v>15574</v>
      </c>
      <c r="K63" s="496">
        <v>2109</v>
      </c>
      <c r="L63" s="497">
        <v>9000</v>
      </c>
      <c r="M63" s="463"/>
      <c r="O63" s="58">
        <f t="shared" si="1"/>
        <v>1.2877136040133899E-3</v>
      </c>
      <c r="P63" s="59">
        <f t="shared" si="2"/>
        <v>2.7576223106377386E-3</v>
      </c>
      <c r="Q63" s="59">
        <f t="shared" si="3"/>
        <v>7.5567217403025855E-3</v>
      </c>
      <c r="R63" s="59">
        <f t="shared" si="4"/>
        <v>5.609174435765682E-3</v>
      </c>
      <c r="S63" s="59">
        <f t="shared" si="5"/>
        <v>0</v>
      </c>
      <c r="T63" s="59">
        <f t="shared" si="6"/>
        <v>0</v>
      </c>
      <c r="U63" s="59">
        <f t="shared" si="7"/>
        <v>3.2689905193710464E-3</v>
      </c>
      <c r="V63" s="59">
        <f t="shared" si="8"/>
        <v>0</v>
      </c>
      <c r="W63" s="59">
        <f t="shared" si="9"/>
        <v>2.3991604694516503E-4</v>
      </c>
      <c r="X63" s="59">
        <f t="shared" si="10"/>
        <v>2.0755378263225965E-5</v>
      </c>
      <c r="Y63" s="60">
        <f t="shared" si="11"/>
        <v>5.6865299241979874E-5</v>
      </c>
      <c r="Z63" s="60">
        <f t="shared" si="24"/>
        <v>1.8907053940491652E-3</v>
      </c>
      <c r="AB63" s="68"/>
      <c r="AC63" s="59">
        <f t="shared" si="25"/>
        <v>8.7782998718496374E-2</v>
      </c>
      <c r="AD63" s="59">
        <f t="shared" si="25"/>
        <v>0.35389036645663396</v>
      </c>
      <c r="AE63" s="59">
        <f t="shared" si="25"/>
        <v>0.15268493981463171</v>
      </c>
      <c r="AF63" s="59">
        <f t="shared" si="25"/>
        <v>-1</v>
      </c>
      <c r="AG63" s="59" t="str">
        <f t="shared" si="28"/>
        <v/>
      </c>
      <c r="AH63" s="59" t="str">
        <f t="shared" si="26"/>
        <v/>
      </c>
      <c r="AI63" s="59">
        <f t="shared" si="26"/>
        <v>-1</v>
      </c>
      <c r="AJ63" s="59" t="str">
        <f t="shared" si="26"/>
        <v/>
      </c>
      <c r="AK63" s="59">
        <f t="shared" si="26"/>
        <v>-0.8645819956337486</v>
      </c>
      <c r="AL63" s="59">
        <f t="shared" si="27"/>
        <v>3.2674253200568986</v>
      </c>
      <c r="AM63" s="65">
        <f t="shared" si="12"/>
        <v>0.14245737563041599</v>
      </c>
      <c r="AO63" s="58"/>
      <c r="AP63" s="59">
        <f t="shared" si="13"/>
        <v>2.6022870666331244E-4</v>
      </c>
      <c r="AQ63" s="59">
        <f t="shared" si="14"/>
        <v>0.25767799949524761</v>
      </c>
      <c r="AR63" s="59">
        <f t="shared" si="15"/>
        <v>7.7376334063586905E-2</v>
      </c>
      <c r="AS63" s="59">
        <f t="shared" si="16"/>
        <v>-1</v>
      </c>
      <c r="AT63" s="59">
        <f t="shared" si="17"/>
        <v>0</v>
      </c>
      <c r="AU63" s="59">
        <f t="shared" si="18"/>
        <v>0</v>
      </c>
      <c r="AV63" s="59">
        <f t="shared" si="19"/>
        <v>-1</v>
      </c>
      <c r="AW63" s="59">
        <f t="shared" si="20"/>
        <v>0</v>
      </c>
      <c r="AX63" s="59">
        <f t="shared" si="21"/>
        <v>-0.87422865759612578</v>
      </c>
      <c r="AY63" s="59">
        <f t="shared" si="22"/>
        <v>3.1837503137812728</v>
      </c>
      <c r="AZ63" s="65">
        <f t="shared" si="23"/>
        <v>6.4483621845064482E-2</v>
      </c>
    </row>
    <row r="64" spans="1:52" ht="25.5">
      <c r="A64" s="515" t="s">
        <v>153</v>
      </c>
      <c r="B64" s="495">
        <v>4818426</v>
      </c>
      <c r="C64" s="496">
        <v>4348491</v>
      </c>
      <c r="D64" s="496">
        <v>4359165</v>
      </c>
      <c r="E64" s="496">
        <v>3797506</v>
      </c>
      <c r="F64" s="496">
        <v>4154481</v>
      </c>
      <c r="G64" s="496">
        <v>566644</v>
      </c>
      <c r="H64" s="496">
        <v>1032755</v>
      </c>
      <c r="I64" s="496">
        <v>272308</v>
      </c>
      <c r="J64" s="496">
        <v>952893</v>
      </c>
      <c r="K64" s="496">
        <v>1779533</v>
      </c>
      <c r="L64" s="497">
        <v>1911532</v>
      </c>
      <c r="M64" s="463"/>
      <c r="O64" s="58">
        <f t="shared" si="1"/>
        <v>0.12047595647026955</v>
      </c>
      <c r="P64" s="59">
        <f t="shared" si="2"/>
        <v>0.21404594183116596</v>
      </c>
      <c r="Q64" s="59">
        <f t="shared" si="3"/>
        <v>0.4342970497312571</v>
      </c>
      <c r="R64" s="59">
        <f t="shared" si="4"/>
        <v>0.24363346191086346</v>
      </c>
      <c r="S64" s="59">
        <f t="shared" si="5"/>
        <v>0.18485559239335669</v>
      </c>
      <c r="T64" s="59">
        <f t="shared" si="6"/>
        <v>2.3086465585829188E-2</v>
      </c>
      <c r="U64" s="59">
        <f t="shared" si="7"/>
        <v>2.2018158779588244E-2</v>
      </c>
      <c r="V64" s="59">
        <f t="shared" si="8"/>
        <v>2.1625301835038386E-3</v>
      </c>
      <c r="W64" s="59">
        <f t="shared" si="9"/>
        <v>1.4679229595590031E-2</v>
      </c>
      <c r="X64" s="59">
        <f t="shared" si="10"/>
        <v>1.7512982715454383E-2</v>
      </c>
      <c r="Y64" s="60">
        <f t="shared" si="11"/>
        <v>1.207775991006892E-2</v>
      </c>
      <c r="Z64" s="60">
        <f t="shared" si="24"/>
        <v>0.11716773900972249</v>
      </c>
      <c r="AB64" s="68"/>
      <c r="AC64" s="59">
        <f t="shared" si="25"/>
        <v>-9.752873656252059E-2</v>
      </c>
      <c r="AD64" s="59">
        <f t="shared" si="25"/>
        <v>2.4546446111997078E-3</v>
      </c>
      <c r="AE64" s="59">
        <f t="shared" si="25"/>
        <v>-0.12884554725503627</v>
      </c>
      <c r="AF64" s="59">
        <f t="shared" si="25"/>
        <v>9.400248478870088E-2</v>
      </c>
      <c r="AG64" s="59">
        <f t="shared" si="28"/>
        <v>-0.86360654916943891</v>
      </c>
      <c r="AH64" s="59">
        <f t="shared" si="26"/>
        <v>0.82258172679848363</v>
      </c>
      <c r="AI64" s="59">
        <f t="shared" si="26"/>
        <v>-0.73632855808008668</v>
      </c>
      <c r="AJ64" s="59">
        <f t="shared" si="26"/>
        <v>2.4993206222365849</v>
      </c>
      <c r="AK64" s="59">
        <f t="shared" si="26"/>
        <v>0.86750558562189028</v>
      </c>
      <c r="AL64" s="59">
        <f t="shared" si="27"/>
        <v>7.4176202408159808E-2</v>
      </c>
      <c r="AM64" s="65">
        <f t="shared" si="12"/>
        <v>0.25337318753979365</v>
      </c>
      <c r="AO64" s="58"/>
      <c r="AP64" s="59">
        <f t="shared" si="13"/>
        <v>-0.17014136695404181</v>
      </c>
      <c r="AQ64" s="59">
        <f t="shared" si="14"/>
        <v>-6.8783423491686313E-2</v>
      </c>
      <c r="AR64" s="59">
        <f t="shared" si="15"/>
        <v>-0.18576086293582239</v>
      </c>
      <c r="AS64" s="59">
        <f t="shared" si="16"/>
        <v>2.7328842885436133E-2</v>
      </c>
      <c r="AT64" s="59">
        <f t="shared" si="17"/>
        <v>-0.87071407232844078</v>
      </c>
      <c r="AU64" s="59">
        <f t="shared" si="18"/>
        <v>0.73823263091127655</v>
      </c>
      <c r="AV64" s="59">
        <f t="shared" si="19"/>
        <v>-0.74763453108737243</v>
      </c>
      <c r="AW64" s="59">
        <f t="shared" si="20"/>
        <v>2.3109287749423646</v>
      </c>
      <c r="AX64" s="59">
        <f t="shared" si="21"/>
        <v>0.7344716129115727</v>
      </c>
      <c r="AY64" s="59">
        <f t="shared" si="22"/>
        <v>5.3113923929568374E-2</v>
      </c>
      <c r="AZ64" s="65">
        <f t="shared" si="23"/>
        <v>0.18210415287828546</v>
      </c>
    </row>
    <row r="65" spans="1:52" ht="38.25">
      <c r="A65" s="515" t="s">
        <v>154</v>
      </c>
      <c r="B65" s="495">
        <v>2424830</v>
      </c>
      <c r="C65" s="496">
        <v>1046537</v>
      </c>
      <c r="D65" s="496">
        <v>265329</v>
      </c>
      <c r="E65" s="496">
        <v>222475</v>
      </c>
      <c r="F65" s="496">
        <v>145426</v>
      </c>
      <c r="G65" s="496">
        <v>466168</v>
      </c>
      <c r="H65" s="496">
        <v>3502830</v>
      </c>
      <c r="I65" s="496">
        <v>1668056</v>
      </c>
      <c r="J65" s="496">
        <v>3541036</v>
      </c>
      <c r="K65" s="496">
        <v>6135427</v>
      </c>
      <c r="L65" s="497">
        <v>2975131</v>
      </c>
      <c r="M65" s="463"/>
      <c r="O65" s="58">
        <f t="shared" si="1"/>
        <v>6.0628452844933949E-2</v>
      </c>
      <c r="P65" s="59">
        <f t="shared" si="2"/>
        <v>5.1513731505058405E-2</v>
      </c>
      <c r="Q65" s="59">
        <f t="shared" si="3"/>
        <v>2.6434329030478251E-2</v>
      </c>
      <c r="R65" s="59">
        <f t="shared" si="4"/>
        <v>1.42731451743906E-2</v>
      </c>
      <c r="S65" s="59">
        <f t="shared" si="5"/>
        <v>6.4707984894855197E-3</v>
      </c>
      <c r="T65" s="59">
        <f t="shared" si="6"/>
        <v>1.8992827046990388E-2</v>
      </c>
      <c r="U65" s="59">
        <f t="shared" si="7"/>
        <v>7.4679732480506106E-2</v>
      </c>
      <c r="V65" s="59">
        <f t="shared" si="8"/>
        <v>1.3246843455846612E-2</v>
      </c>
      <c r="W65" s="59">
        <f t="shared" si="9"/>
        <v>5.4549336022249865E-2</v>
      </c>
      <c r="X65" s="59">
        <f t="shared" si="10"/>
        <v>6.0380800470085205E-2</v>
      </c>
      <c r="Y65" s="60">
        <f t="shared" si="11"/>
        <v>1.879796828878787E-2</v>
      </c>
      <c r="Z65" s="60">
        <f t="shared" si="24"/>
        <v>3.6360724073528437E-2</v>
      </c>
      <c r="AB65" s="68"/>
      <c r="AC65" s="59">
        <f t="shared" si="25"/>
        <v>-0.56840809458807429</v>
      </c>
      <c r="AD65" s="59">
        <f t="shared" si="25"/>
        <v>-0.74646954670498988</v>
      </c>
      <c r="AE65" s="59">
        <f t="shared" si="25"/>
        <v>-0.16151268802128682</v>
      </c>
      <c r="AF65" s="59">
        <f t="shared" si="25"/>
        <v>-0.34632655354534214</v>
      </c>
      <c r="AG65" s="59">
        <f t="shared" si="28"/>
        <v>2.2055340860643899</v>
      </c>
      <c r="AH65" s="59">
        <f t="shared" si="26"/>
        <v>6.5140936314804962</v>
      </c>
      <c r="AI65" s="59">
        <f t="shared" si="26"/>
        <v>-0.52379761507124245</v>
      </c>
      <c r="AJ65" s="59">
        <f t="shared" si="26"/>
        <v>1.122851990580652</v>
      </c>
      <c r="AK65" s="59">
        <f t="shared" si="26"/>
        <v>0.7326643953916312</v>
      </c>
      <c r="AL65" s="59">
        <f t="shared" si="27"/>
        <v>-0.51508982178420504</v>
      </c>
      <c r="AM65" s="65">
        <f t="shared" si="12"/>
        <v>0.77135397838020281</v>
      </c>
      <c r="AO65" s="58"/>
      <c r="AP65" s="59">
        <f t="shared" si="13"/>
        <v>-0.60313388008098778</v>
      </c>
      <c r="AQ65" s="59">
        <f t="shared" si="14"/>
        <v>-0.76448634157453776</v>
      </c>
      <c r="AR65" s="59">
        <f t="shared" si="15"/>
        <v>-0.21629375457639677</v>
      </c>
      <c r="AS65" s="59">
        <f t="shared" si="16"/>
        <v>-0.38616447886688154</v>
      </c>
      <c r="AT65" s="59">
        <f t="shared" si="17"/>
        <v>2.0384922844607649</v>
      </c>
      <c r="AU65" s="59">
        <f t="shared" si="18"/>
        <v>6.1663413222655157</v>
      </c>
      <c r="AV65" s="59">
        <f t="shared" si="19"/>
        <v>-0.54421670661489507</v>
      </c>
      <c r="AW65" s="59">
        <f t="shared" si="20"/>
        <v>1.0085646613498458</v>
      </c>
      <c r="AX65" s="59">
        <f t="shared" si="21"/>
        <v>0.60923599460539735</v>
      </c>
      <c r="AY65" s="59">
        <f t="shared" si="22"/>
        <v>-0.52459786449431867</v>
      </c>
      <c r="AZ65" s="65">
        <f t="shared" si="23"/>
        <v>0.67837412364735061</v>
      </c>
    </row>
    <row r="66" spans="1:52" ht="25.5">
      <c r="A66" s="515" t="s">
        <v>155</v>
      </c>
      <c r="B66" s="495">
        <v>17869</v>
      </c>
      <c r="C66" s="496"/>
      <c r="D66" s="496"/>
      <c r="E66" s="496"/>
      <c r="F66" s="496"/>
      <c r="G66" s="496"/>
      <c r="H66" s="496"/>
      <c r="I66" s="496">
        <v>2133526</v>
      </c>
      <c r="J66" s="496"/>
      <c r="K66" s="496"/>
      <c r="L66" s="497"/>
      <c r="M66" s="463"/>
      <c r="O66" s="58">
        <f t="shared" si="1"/>
        <v>4.4678176362306831E-4</v>
      </c>
      <c r="P66" s="59">
        <f t="shared" si="2"/>
        <v>0</v>
      </c>
      <c r="Q66" s="59">
        <f t="shared" si="3"/>
        <v>0</v>
      </c>
      <c r="R66" s="59">
        <f t="shared" si="4"/>
        <v>0</v>
      </c>
      <c r="S66" s="59">
        <f t="shared" si="5"/>
        <v>0</v>
      </c>
      <c r="T66" s="59">
        <f t="shared" si="6"/>
        <v>0</v>
      </c>
      <c r="U66" s="59">
        <f t="shared" si="7"/>
        <v>0</v>
      </c>
      <c r="V66" s="59">
        <f t="shared" si="8"/>
        <v>1.6943366967882734E-2</v>
      </c>
      <c r="W66" s="59">
        <f t="shared" si="9"/>
        <v>0</v>
      </c>
      <c r="X66" s="59">
        <f t="shared" si="10"/>
        <v>0</v>
      </c>
      <c r="Y66" s="60">
        <f t="shared" si="11"/>
        <v>0</v>
      </c>
      <c r="Z66" s="60">
        <f t="shared" si="24"/>
        <v>1.5809226119550728E-3</v>
      </c>
      <c r="AB66" s="68"/>
      <c r="AC66" s="59">
        <f t="shared" si="25"/>
        <v>-1</v>
      </c>
      <c r="AD66" s="59" t="str">
        <f t="shared" si="25"/>
        <v/>
      </c>
      <c r="AE66" s="59" t="str">
        <f t="shared" si="25"/>
        <v/>
      </c>
      <c r="AF66" s="59" t="str">
        <f t="shared" si="25"/>
        <v/>
      </c>
      <c r="AG66" s="59" t="str">
        <f t="shared" si="28"/>
        <v/>
      </c>
      <c r="AH66" s="59" t="str">
        <f t="shared" si="26"/>
        <v/>
      </c>
      <c r="AI66" s="59" t="str">
        <f t="shared" si="26"/>
        <v/>
      </c>
      <c r="AJ66" s="59">
        <f t="shared" si="26"/>
        <v>-1</v>
      </c>
      <c r="AK66" s="59" t="str">
        <f t="shared" si="26"/>
        <v/>
      </c>
      <c r="AL66" s="59" t="str">
        <f t="shared" si="27"/>
        <v/>
      </c>
      <c r="AM66" s="65">
        <f t="shared" si="12"/>
        <v>-1</v>
      </c>
      <c r="AO66" s="58"/>
      <c r="AP66" s="59">
        <f t="shared" si="13"/>
        <v>-1</v>
      </c>
      <c r="AQ66" s="59">
        <f t="shared" si="14"/>
        <v>0</v>
      </c>
      <c r="AR66" s="59">
        <f t="shared" si="15"/>
        <v>0</v>
      </c>
      <c r="AS66" s="59">
        <f t="shared" si="16"/>
        <v>0</v>
      </c>
      <c r="AT66" s="59">
        <f t="shared" si="17"/>
        <v>0</v>
      </c>
      <c r="AU66" s="59">
        <f t="shared" si="18"/>
        <v>0</v>
      </c>
      <c r="AV66" s="59">
        <f t="shared" si="19"/>
        <v>0</v>
      </c>
      <c r="AW66" s="59">
        <f t="shared" si="20"/>
        <v>-1</v>
      </c>
      <c r="AX66" s="59">
        <f t="shared" si="21"/>
        <v>0</v>
      </c>
      <c r="AY66" s="59">
        <f t="shared" si="22"/>
        <v>0</v>
      </c>
      <c r="AZ66" s="65">
        <f t="shared" si="23"/>
        <v>-0.2</v>
      </c>
    </row>
    <row r="67" spans="1:52" ht="38.25">
      <c r="A67" s="515" t="s">
        <v>156</v>
      </c>
      <c r="B67" s="495">
        <v>7261125</v>
      </c>
      <c r="C67" s="496">
        <v>5395028</v>
      </c>
      <c r="D67" s="496">
        <v>4624494</v>
      </c>
      <c r="E67" s="496">
        <v>4019981</v>
      </c>
      <c r="F67" s="496">
        <v>4299907</v>
      </c>
      <c r="G67" s="496">
        <v>1032812</v>
      </c>
      <c r="H67" s="496">
        <v>4535585</v>
      </c>
      <c r="I67" s="496">
        <v>4073890</v>
      </c>
      <c r="J67" s="496">
        <v>4493929</v>
      </c>
      <c r="K67" s="496">
        <v>7914960</v>
      </c>
      <c r="L67" s="497">
        <v>4886663</v>
      </c>
      <c r="M67" s="463"/>
      <c r="O67" s="58">
        <f t="shared" si="1"/>
        <v>0.18155119107882656</v>
      </c>
      <c r="P67" s="59">
        <f t="shared" si="2"/>
        <v>0.26555967333622438</v>
      </c>
      <c r="Q67" s="59">
        <f t="shared" si="3"/>
        <v>0.46073137876173537</v>
      </c>
      <c r="R67" s="59">
        <f t="shared" si="4"/>
        <v>0.25790660708525404</v>
      </c>
      <c r="S67" s="59">
        <f t="shared" si="5"/>
        <v>0.19132639088284223</v>
      </c>
      <c r="T67" s="59">
        <f t="shared" si="6"/>
        <v>4.2079292632819579E-2</v>
      </c>
      <c r="U67" s="59">
        <f t="shared" si="7"/>
        <v>9.6697891260094357E-2</v>
      </c>
      <c r="V67" s="59">
        <f t="shared" si="8"/>
        <v>3.2352740607233185E-2</v>
      </c>
      <c r="W67" s="59">
        <f t="shared" si="9"/>
        <v>6.9228565617839896E-2</v>
      </c>
      <c r="X67" s="59">
        <f t="shared" si="10"/>
        <v>7.7893783185539592E-2</v>
      </c>
      <c r="Y67" s="60">
        <f t="shared" si="11"/>
        <v>3.087572819885679E-2</v>
      </c>
      <c r="Z67" s="60">
        <f t="shared" si="24"/>
        <v>0.15510938569520599</v>
      </c>
      <c r="AB67" s="68"/>
      <c r="AC67" s="59">
        <f t="shared" si="25"/>
        <v>-0.2569983301485651</v>
      </c>
      <c r="AD67" s="59">
        <f t="shared" si="25"/>
        <v>-0.14282298442195296</v>
      </c>
      <c r="AE67" s="59">
        <f t="shared" si="25"/>
        <v>-0.13071981496786456</v>
      </c>
      <c r="AF67" s="59">
        <f t="shared" si="25"/>
        <v>6.963366244765834E-2</v>
      </c>
      <c r="AG67" s="59">
        <f t="shared" si="28"/>
        <v>-0.759805967896515</v>
      </c>
      <c r="AH67" s="59">
        <f t="shared" si="26"/>
        <v>3.3914913846856933</v>
      </c>
      <c r="AI67" s="59">
        <f t="shared" si="26"/>
        <v>-0.10179392514967744</v>
      </c>
      <c r="AJ67" s="59">
        <f t="shared" si="26"/>
        <v>0.10310514029588425</v>
      </c>
      <c r="AK67" s="59">
        <f t="shared" si="26"/>
        <v>0.76125613021478533</v>
      </c>
      <c r="AL67" s="59">
        <f t="shared" si="27"/>
        <v>-0.38260420772815029</v>
      </c>
      <c r="AM67" s="65">
        <f t="shared" si="12"/>
        <v>0.25507410873312958</v>
      </c>
      <c r="AO67" s="58"/>
      <c r="AP67" s="59">
        <f t="shared" si="13"/>
        <v>-0.31678007369982997</v>
      </c>
      <c r="AQ67" s="59">
        <f t="shared" si="14"/>
        <v>-0.20373709653688155</v>
      </c>
      <c r="AR67" s="59">
        <f t="shared" si="15"/>
        <v>-0.187512678724988</v>
      </c>
      <c r="AS67" s="59">
        <f t="shared" si="16"/>
        <v>4.4451708589148264E-3</v>
      </c>
      <c r="AT67" s="59">
        <f t="shared" si="17"/>
        <v>-0.77232258533990195</v>
      </c>
      <c r="AU67" s="59">
        <f t="shared" si="18"/>
        <v>3.1882531307033233</v>
      </c>
      <c r="AV67" s="59">
        <f t="shared" si="19"/>
        <v>-0.14030812131477544</v>
      </c>
      <c r="AW67" s="59">
        <f t="shared" si="20"/>
        <v>4.3717608379112871E-2</v>
      </c>
      <c r="AX67" s="59">
        <f t="shared" si="21"/>
        <v>0.63579096332756135</v>
      </c>
      <c r="AY67" s="59">
        <f t="shared" si="22"/>
        <v>-0.39471000757661789</v>
      </c>
      <c r="AZ67" s="65">
        <f t="shared" si="23"/>
        <v>0.18568363100759178</v>
      </c>
    </row>
    <row r="68" spans="1:52" ht="38.25">
      <c r="A68" s="515" t="s">
        <v>26</v>
      </c>
      <c r="B68" s="495">
        <v>14250862</v>
      </c>
      <c r="C68" s="496">
        <v>10219445</v>
      </c>
      <c r="D68" s="496">
        <v>6263494</v>
      </c>
      <c r="E68" s="496">
        <v>7733860</v>
      </c>
      <c r="F68" s="496">
        <v>12315887</v>
      </c>
      <c r="G68" s="496">
        <v>8705574</v>
      </c>
      <c r="H68" s="496">
        <v>17621146</v>
      </c>
      <c r="I68" s="496">
        <v>20824679</v>
      </c>
      <c r="J68" s="496">
        <v>22982311</v>
      </c>
      <c r="K68" s="496">
        <v>28060227</v>
      </c>
      <c r="L68" s="497">
        <v>38086622</v>
      </c>
      <c r="M68" s="463"/>
      <c r="O68" s="58">
        <f t="shared" si="1"/>
        <v>0.35631682005198761</v>
      </c>
      <c r="P68" s="59">
        <f t="shared" si="2"/>
        <v>0.50303213919881629</v>
      </c>
      <c r="Q68" s="59">
        <f t="shared" si="3"/>
        <v>0.62402248256476422</v>
      </c>
      <c r="R68" s="59">
        <f t="shared" si="4"/>
        <v>0.49617488049629166</v>
      </c>
      <c r="S68" s="59">
        <f t="shared" si="5"/>
        <v>0.5480012033355407</v>
      </c>
      <c r="T68" s="59">
        <f t="shared" si="6"/>
        <v>0.35468642490856578</v>
      </c>
      <c r="U68" s="59">
        <f t="shared" si="7"/>
        <v>0.37567979869989132</v>
      </c>
      <c r="V68" s="59">
        <f t="shared" si="8"/>
        <v>0.16537889778955644</v>
      </c>
      <c r="W68" s="59">
        <f t="shared" si="9"/>
        <v>0.35404040097498285</v>
      </c>
      <c r="X68" s="59">
        <f t="shared" si="10"/>
        <v>0.27615013064816801</v>
      </c>
      <c r="Y68" s="60">
        <f t="shared" si="11"/>
        <v>0.24064523968290821</v>
      </c>
      <c r="Z68" s="60">
        <f t="shared" si="24"/>
        <v>0.39037531075922483</v>
      </c>
      <c r="AB68" s="68"/>
      <c r="AC68" s="59">
        <f t="shared" si="25"/>
        <v>-0.28288934381653541</v>
      </c>
      <c r="AD68" s="59">
        <f t="shared" si="25"/>
        <v>-0.38710037580318701</v>
      </c>
      <c r="AE68" s="59">
        <f t="shared" si="25"/>
        <v>0.23475172164290403</v>
      </c>
      <c r="AF68" s="59">
        <f t="shared" si="25"/>
        <v>0.59246314259632316</v>
      </c>
      <c r="AG68" s="59">
        <f t="shared" si="28"/>
        <v>-0.29314275130975143</v>
      </c>
      <c r="AH68" s="59">
        <f t="shared" si="26"/>
        <v>1.0241222462757769</v>
      </c>
      <c r="AI68" s="59">
        <f t="shared" si="26"/>
        <v>0.18180049129608267</v>
      </c>
      <c r="AJ68" s="59">
        <f t="shared" si="26"/>
        <v>0.10360937616373334</v>
      </c>
      <c r="AK68" s="59">
        <f t="shared" si="26"/>
        <v>0.2209488854275794</v>
      </c>
      <c r="AL68" s="59">
        <f t="shared" si="27"/>
        <v>0.3573169596953012</v>
      </c>
      <c r="AM68" s="65">
        <f t="shared" si="12"/>
        <v>0.17518803521682266</v>
      </c>
      <c r="AO68" s="58"/>
      <c r="AP68" s="59">
        <f t="shared" si="13"/>
        <v>-0.34058790236003256</v>
      </c>
      <c r="AQ68" s="59">
        <f t="shared" si="14"/>
        <v>-0.43065524923658804</v>
      </c>
      <c r="AR68" s="59">
        <f t="shared" si="15"/>
        <v>0.1540814297064248</v>
      </c>
      <c r="AS68" s="59">
        <f t="shared" si="16"/>
        <v>0.4954109706041161</v>
      </c>
      <c r="AT68" s="59">
        <f t="shared" si="17"/>
        <v>-0.32997739574891494</v>
      </c>
      <c r="AU68" s="59">
        <f t="shared" si="18"/>
        <v>0.9304458536464868</v>
      </c>
      <c r="AV68" s="59">
        <f t="shared" si="19"/>
        <v>0.1311260445023763</v>
      </c>
      <c r="AW68" s="59">
        <f t="shared" si="20"/>
        <v>4.4194697855741705E-2</v>
      </c>
      <c r="AX68" s="59">
        <f t="shared" si="21"/>
        <v>0.13397314519139902</v>
      </c>
      <c r="AY68" s="59">
        <f t="shared" si="22"/>
        <v>0.33070290166205996</v>
      </c>
      <c r="AZ68" s="65">
        <f t="shared" si="23"/>
        <v>0.11187144958230691</v>
      </c>
    </row>
    <row r="69" spans="1:52" ht="25.5">
      <c r="A69" s="515" t="s">
        <v>27</v>
      </c>
      <c r="B69" s="495">
        <v>39994918</v>
      </c>
      <c r="C69" s="496">
        <v>20315690</v>
      </c>
      <c r="D69" s="496">
        <v>10037289</v>
      </c>
      <c r="E69" s="496">
        <v>15586964</v>
      </c>
      <c r="F69" s="496">
        <v>22474197</v>
      </c>
      <c r="G69" s="496">
        <v>24544424</v>
      </c>
      <c r="H69" s="496">
        <v>46904694</v>
      </c>
      <c r="I69" s="496">
        <v>125921017</v>
      </c>
      <c r="J69" s="496">
        <v>64914374</v>
      </c>
      <c r="K69" s="496">
        <v>101612217</v>
      </c>
      <c r="L69" s="497">
        <v>158268753</v>
      </c>
      <c r="M69" s="463"/>
      <c r="O69" s="58">
        <f t="shared" ref="O69:O132" si="29">B69/$B$69</f>
        <v>1</v>
      </c>
      <c r="P69" s="59">
        <f t="shared" ref="P69:P132" si="30">C69/$C$69</f>
        <v>1</v>
      </c>
      <c r="Q69" s="59">
        <f t="shared" ref="Q69:Q132" si="31">D69/$D$69</f>
        <v>1</v>
      </c>
      <c r="R69" s="59">
        <f t="shared" ref="R69:R132" si="32">E69/$E$69</f>
        <v>1</v>
      </c>
      <c r="S69" s="59">
        <f t="shared" ref="S69:S132" si="33">F69/$F$69</f>
        <v>1</v>
      </c>
      <c r="T69" s="59">
        <f t="shared" ref="T69:T132" si="34">G69/$G$69</f>
        <v>1</v>
      </c>
      <c r="U69" s="59">
        <f t="shared" ref="U69:U132" si="35">H69/$H$69</f>
        <v>1</v>
      </c>
      <c r="V69" s="59">
        <f t="shared" ref="V69:V132" si="36">I69/$I$69</f>
        <v>1</v>
      </c>
      <c r="W69" s="59">
        <f t="shared" ref="W69:W132" si="37">J69/$J$69</f>
        <v>1</v>
      </c>
      <c r="X69" s="59">
        <f t="shared" ref="X69:X132" si="38">K69/$K$69</f>
        <v>1</v>
      </c>
      <c r="Y69" s="60">
        <f t="shared" ref="Y69:Y132" si="39">L69/$L$69</f>
        <v>1</v>
      </c>
      <c r="Z69" s="60">
        <f t="shared" ref="Z69:Z132" si="40">AVERAGE(O69:Y69)</f>
        <v>1</v>
      </c>
      <c r="AB69" s="68"/>
      <c r="AC69" s="59">
        <f t="shared" si="25"/>
        <v>-0.49204321409035023</v>
      </c>
      <c r="AD69" s="59">
        <f t="shared" si="25"/>
        <v>-0.5059341326826704</v>
      </c>
      <c r="AE69" s="59">
        <f t="shared" si="25"/>
        <v>0.55290576967545713</v>
      </c>
      <c r="AF69" s="59">
        <f t="shared" si="25"/>
        <v>0.4418585299869815</v>
      </c>
      <c r="AG69" s="59">
        <f t="shared" si="28"/>
        <v>9.2115727204847397E-2</v>
      </c>
      <c r="AH69" s="59">
        <f t="shared" si="26"/>
        <v>0.91101221197938886</v>
      </c>
      <c r="AI69" s="59">
        <f t="shared" si="26"/>
        <v>1.684614401279326</v>
      </c>
      <c r="AJ69" s="59">
        <f t="shared" si="26"/>
        <v>-0.48448340438673554</v>
      </c>
      <c r="AK69" s="59">
        <f t="shared" si="26"/>
        <v>0.56532691819534464</v>
      </c>
      <c r="AL69" s="59">
        <f t="shared" si="27"/>
        <v>0.5575760245443715</v>
      </c>
      <c r="AM69" s="65">
        <f t="shared" ref="AM69:AM132" si="41">AVERAGE(AB69:AL69)</f>
        <v>0.33229488317059608</v>
      </c>
      <c r="AO69" s="58"/>
      <c r="AP69" s="59">
        <f t="shared" ref="AP69:AP132" si="42">IF(AC69="",,(((AC69+1)/($C$183+1))-1))</f>
        <v>-0.53291330031296569</v>
      </c>
      <c r="AQ69" s="59">
        <f t="shared" ref="AQ69:AQ132" si="43">IF(AD69="",,(((AD69+1)/($D$183+1))-1))</f>
        <v>-0.54104424773123116</v>
      </c>
      <c r="AR69" s="59">
        <f t="shared" ref="AR69:AR132" si="44">IF(AE69="",,(((AE69+1)/($E$183+1))-1))</f>
        <v>0.45144945291658756</v>
      </c>
      <c r="AS69" s="59">
        <f t="shared" ref="AS69:AS132" si="45">IF(AF69="",,(((AF69+1)/($F$183+1))-1))</f>
        <v>0.35398490936893756</v>
      </c>
      <c r="AT69" s="59">
        <f t="shared" ref="AT69:AT132" si="46">IF(AG69="",,(((AG69+1)/($G$183+1))-1))</f>
        <v>3.5205092741456445E-2</v>
      </c>
      <c r="AU69" s="59">
        <f t="shared" ref="AU69:AU132" si="47">IF(AH69="",,(((AH69+1)/($H$183+1))-1))</f>
        <v>0.8225705525795548</v>
      </c>
      <c r="AV69" s="59">
        <f t="shared" ref="AV69:AV132" si="48">IF(AI69="",,(((AI69+1)/($I$183+1))-1))</f>
        <v>1.5695007669212542</v>
      </c>
      <c r="AW69" s="59">
        <f t="shared" ref="AW69:AW132" si="49">IF(AJ69="",,(((AJ69+1)/($J$183+1))-1))</f>
        <v>-0.51223711267549965</v>
      </c>
      <c r="AX69" s="59">
        <f t="shared" ref="AX69:AX132" si="50">IF(AK69="",,(((AK69+1)/($K$183+1))-1))</f>
        <v>0.45381900083156368</v>
      </c>
      <c r="AY69" s="59">
        <f t="shared" ref="AY69:AY132" si="51">IF(AL69="",,(((AL69+1)/($L$183+1))-1))</f>
        <v>0.52703531818075633</v>
      </c>
      <c r="AZ69" s="65">
        <f t="shared" ref="AZ69:AZ132" si="52">AVERAGE(AO69:AY69)</f>
        <v>0.26273704328204139</v>
      </c>
    </row>
    <row r="70" spans="1:52" ht="25.5">
      <c r="A70" s="515" t="s">
        <v>157</v>
      </c>
      <c r="B70" s="495">
        <v>110625</v>
      </c>
      <c r="C70" s="496"/>
      <c r="D70" s="496">
        <v>1592313</v>
      </c>
      <c r="E70" s="496"/>
      <c r="F70" s="496"/>
      <c r="G70" s="496"/>
      <c r="H70" s="496"/>
      <c r="I70" s="496"/>
      <c r="J70" s="496">
        <v>6152519</v>
      </c>
      <c r="K70" s="496">
        <v>548322</v>
      </c>
      <c r="L70" s="497">
        <v>82</v>
      </c>
      <c r="M70" s="463"/>
      <c r="O70" s="58">
        <f t="shared" si="29"/>
        <v>2.7659764173038185E-3</v>
      </c>
      <c r="P70" s="59">
        <f t="shared" si="30"/>
        <v>0</v>
      </c>
      <c r="Q70" s="59">
        <f t="shared" si="31"/>
        <v>0.15863974824277752</v>
      </c>
      <c r="R70" s="59">
        <f t="shared" si="32"/>
        <v>0</v>
      </c>
      <c r="S70" s="59">
        <f t="shared" si="33"/>
        <v>0</v>
      </c>
      <c r="T70" s="59">
        <f t="shared" si="34"/>
        <v>0</v>
      </c>
      <c r="U70" s="59">
        <f t="shared" si="35"/>
        <v>0</v>
      </c>
      <c r="V70" s="59">
        <f t="shared" si="36"/>
        <v>0</v>
      </c>
      <c r="W70" s="59">
        <f t="shared" si="37"/>
        <v>9.4778993016246288E-2</v>
      </c>
      <c r="X70" s="59">
        <f t="shared" si="38"/>
        <v>5.3962212043852957E-3</v>
      </c>
      <c r="Y70" s="60">
        <f t="shared" si="39"/>
        <v>5.1810605976026111E-7</v>
      </c>
      <c r="Z70" s="60">
        <f t="shared" si="40"/>
        <v>2.3780132453342973E-2</v>
      </c>
      <c r="AB70" s="68"/>
      <c r="AC70" s="59">
        <f t="shared" ref="AC70:AF133" si="53">+IF(B70=0,"",C70/B70-1)</f>
        <v>-1</v>
      </c>
      <c r="AD70" s="59" t="str">
        <f t="shared" si="53"/>
        <v/>
      </c>
      <c r="AE70" s="59">
        <f t="shared" si="53"/>
        <v>-1</v>
      </c>
      <c r="AF70" s="59" t="str">
        <f t="shared" si="53"/>
        <v/>
      </c>
      <c r="AG70" s="59" t="str">
        <f t="shared" si="28"/>
        <v/>
      </c>
      <c r="AH70" s="59" t="str">
        <f t="shared" si="26"/>
        <v/>
      </c>
      <c r="AI70" s="59" t="str">
        <f t="shared" si="26"/>
        <v/>
      </c>
      <c r="AJ70" s="59" t="str">
        <f t="shared" si="26"/>
        <v/>
      </c>
      <c r="AK70" s="59">
        <f t="shared" si="26"/>
        <v>-0.91087845482476371</v>
      </c>
      <c r="AL70" s="59">
        <f t="shared" si="27"/>
        <v>-0.9998504528361073</v>
      </c>
      <c r="AM70" s="65">
        <f t="shared" si="41"/>
        <v>-0.97768222691521778</v>
      </c>
      <c r="AO70" s="58"/>
      <c r="AP70" s="59">
        <f t="shared" si="42"/>
        <v>-1</v>
      </c>
      <c r="AQ70" s="59">
        <f t="shared" si="43"/>
        <v>0</v>
      </c>
      <c r="AR70" s="59">
        <f t="shared" si="44"/>
        <v>-1</v>
      </c>
      <c r="AS70" s="59">
        <f t="shared" si="45"/>
        <v>0</v>
      </c>
      <c r="AT70" s="59">
        <f t="shared" si="46"/>
        <v>0</v>
      </c>
      <c r="AU70" s="59">
        <f t="shared" si="47"/>
        <v>0</v>
      </c>
      <c r="AV70" s="59">
        <f t="shared" si="48"/>
        <v>0</v>
      </c>
      <c r="AW70" s="59">
        <f t="shared" si="49"/>
        <v>0</v>
      </c>
      <c r="AX70" s="59">
        <f t="shared" si="50"/>
        <v>-0.91722713367211262</v>
      </c>
      <c r="AY70" s="59">
        <f t="shared" si="51"/>
        <v>-0.99985338513343858</v>
      </c>
      <c r="AZ70" s="65">
        <f t="shared" si="52"/>
        <v>-0.39170805188055507</v>
      </c>
    </row>
    <row r="71" spans="1:52" ht="25.5">
      <c r="A71" s="515" t="s">
        <v>158</v>
      </c>
      <c r="B71" s="495">
        <v>28042</v>
      </c>
      <c r="C71" s="496"/>
      <c r="D71" s="496"/>
      <c r="E71" s="496"/>
      <c r="F71" s="496">
        <v>39971</v>
      </c>
      <c r="G71" s="496">
        <v>47094</v>
      </c>
      <c r="H71" s="496">
        <v>1484627</v>
      </c>
      <c r="I71" s="496">
        <v>125938</v>
      </c>
      <c r="J71" s="496">
        <v>307152</v>
      </c>
      <c r="K71" s="496">
        <v>144987</v>
      </c>
      <c r="L71" s="497">
        <v>3331984</v>
      </c>
      <c r="M71" s="463"/>
      <c r="O71" s="58">
        <f t="shared" si="29"/>
        <v>7.0113907972007845E-4</v>
      </c>
      <c r="P71" s="59">
        <f t="shared" si="30"/>
        <v>0</v>
      </c>
      <c r="Q71" s="59">
        <f t="shared" si="31"/>
        <v>0</v>
      </c>
      <c r="R71" s="59">
        <f t="shared" si="32"/>
        <v>0</v>
      </c>
      <c r="S71" s="59">
        <f t="shared" si="33"/>
        <v>1.7785285053788574E-3</v>
      </c>
      <c r="T71" s="59">
        <f t="shared" si="34"/>
        <v>1.9187250024689925E-3</v>
      </c>
      <c r="U71" s="59">
        <f t="shared" si="35"/>
        <v>3.1651992015980318E-2</v>
      </c>
      <c r="V71" s="59">
        <f t="shared" si="36"/>
        <v>1.0001348702575997E-3</v>
      </c>
      <c r="W71" s="59">
        <f t="shared" si="37"/>
        <v>4.7316484943689049E-3</v>
      </c>
      <c r="X71" s="59">
        <f t="shared" si="38"/>
        <v>1.4268658265767394E-3</v>
      </c>
      <c r="Y71" s="60">
        <f t="shared" si="39"/>
        <v>2.1052696358832119E-2</v>
      </c>
      <c r="Z71" s="60">
        <f t="shared" si="40"/>
        <v>5.8419754685076009E-3</v>
      </c>
      <c r="AB71" s="68"/>
      <c r="AC71" s="59">
        <f t="shared" si="53"/>
        <v>-1</v>
      </c>
      <c r="AD71" s="59" t="str">
        <f t="shared" si="53"/>
        <v/>
      </c>
      <c r="AE71" s="59" t="str">
        <f t="shared" si="53"/>
        <v/>
      </c>
      <c r="AF71" s="59" t="str">
        <f t="shared" si="53"/>
        <v/>
      </c>
      <c r="AG71" s="59">
        <f t="shared" si="28"/>
        <v>0.17820419804358156</v>
      </c>
      <c r="AH71" s="59">
        <f t="shared" si="26"/>
        <v>30.524758992652991</v>
      </c>
      <c r="AI71" s="59">
        <f t="shared" si="26"/>
        <v>-0.91517195901731552</v>
      </c>
      <c r="AJ71" s="59">
        <f t="shared" si="26"/>
        <v>1.4389143864441234</v>
      </c>
      <c r="AK71" s="59">
        <f t="shared" si="26"/>
        <v>-0.52796335364900759</v>
      </c>
      <c r="AL71" s="59">
        <f t="shared" si="27"/>
        <v>21.981260388862449</v>
      </c>
      <c r="AM71" s="65">
        <f t="shared" si="41"/>
        <v>7.3828575219052608</v>
      </c>
      <c r="AO71" s="58"/>
      <c r="AP71" s="59">
        <f t="shared" si="42"/>
        <v>-1</v>
      </c>
      <c r="AQ71" s="59">
        <f t="shared" si="43"/>
        <v>0</v>
      </c>
      <c r="AR71" s="59">
        <f t="shared" si="44"/>
        <v>0</v>
      </c>
      <c r="AS71" s="59">
        <f t="shared" si="45"/>
        <v>0</v>
      </c>
      <c r="AT71" s="59">
        <f t="shared" si="46"/>
        <v>0.11680745521880387</v>
      </c>
      <c r="AU71" s="59">
        <f t="shared" si="47"/>
        <v>29.065792911739145</v>
      </c>
      <c r="AV71" s="59">
        <f t="shared" si="48"/>
        <v>-0.91880930227537849</v>
      </c>
      <c r="AW71" s="59">
        <f t="shared" si="49"/>
        <v>1.3076113032870884</v>
      </c>
      <c r="AX71" s="59">
        <f t="shared" si="50"/>
        <v>-0.56158944334448557</v>
      </c>
      <c r="AY71" s="59">
        <f t="shared" si="51"/>
        <v>21.530647440061223</v>
      </c>
      <c r="AZ71" s="65">
        <f t="shared" si="52"/>
        <v>4.9540460364686396</v>
      </c>
    </row>
    <row r="72" spans="1:52" ht="25.5">
      <c r="A72" s="515" t="s">
        <v>159</v>
      </c>
      <c r="B72" s="495">
        <v>104661</v>
      </c>
      <c r="C72" s="496"/>
      <c r="D72" s="496">
        <v>138515317</v>
      </c>
      <c r="E72" s="496">
        <v>166803</v>
      </c>
      <c r="F72" s="496">
        <v>3696804</v>
      </c>
      <c r="G72" s="496">
        <v>2267052</v>
      </c>
      <c r="H72" s="496">
        <v>3147701</v>
      </c>
      <c r="I72" s="496">
        <v>2400039</v>
      </c>
      <c r="J72" s="496">
        <v>3198040</v>
      </c>
      <c r="K72" s="496">
        <v>1276528</v>
      </c>
      <c r="L72" s="497">
        <v>10011085</v>
      </c>
      <c r="M72" s="463"/>
      <c r="O72" s="58">
        <f t="shared" si="29"/>
        <v>2.6168574717417847E-3</v>
      </c>
      <c r="P72" s="59">
        <f t="shared" si="30"/>
        <v>0</v>
      </c>
      <c r="Q72" s="59">
        <f t="shared" si="31"/>
        <v>13.800072609247378</v>
      </c>
      <c r="R72" s="59">
        <f t="shared" si="32"/>
        <v>1.0701442564440387E-2</v>
      </c>
      <c r="S72" s="59">
        <f t="shared" si="33"/>
        <v>0.16449103832274853</v>
      </c>
      <c r="T72" s="59">
        <f t="shared" si="34"/>
        <v>9.236525575014512E-2</v>
      </c>
      <c r="U72" s="59">
        <f t="shared" si="35"/>
        <v>6.710844334684285E-2</v>
      </c>
      <c r="V72" s="59">
        <f t="shared" si="36"/>
        <v>1.9059876239722554E-2</v>
      </c>
      <c r="W72" s="59">
        <f t="shared" si="37"/>
        <v>4.9265513983081773E-2</v>
      </c>
      <c r="X72" s="59">
        <f t="shared" si="38"/>
        <v>1.2562741348316413E-2</v>
      </c>
      <c r="Y72" s="60">
        <f t="shared" si="39"/>
        <v>6.3253704917988457E-2</v>
      </c>
      <c r="Z72" s="60">
        <f t="shared" si="40"/>
        <v>1.2983179530174918</v>
      </c>
      <c r="AB72" s="68"/>
      <c r="AC72" s="59">
        <f t="shared" si="53"/>
        <v>-1</v>
      </c>
      <c r="AD72" s="59" t="str">
        <f t="shared" si="53"/>
        <v/>
      </c>
      <c r="AE72" s="59">
        <f t="shared" si="53"/>
        <v>-0.9987957793866219</v>
      </c>
      <c r="AF72" s="59">
        <f t="shared" si="53"/>
        <v>21.162694915559072</v>
      </c>
      <c r="AG72" s="59">
        <f t="shared" si="28"/>
        <v>-0.38675353088776143</v>
      </c>
      <c r="AH72" s="59">
        <f t="shared" si="26"/>
        <v>0.38845558019842508</v>
      </c>
      <c r="AI72" s="59">
        <f t="shared" si="26"/>
        <v>-0.23752637242228536</v>
      </c>
      <c r="AJ72" s="59">
        <f t="shared" si="26"/>
        <v>0.3324950136226954</v>
      </c>
      <c r="AK72" s="59">
        <f t="shared" si="26"/>
        <v>-0.60084051481532441</v>
      </c>
      <c r="AL72" s="59">
        <f t="shared" si="27"/>
        <v>6.842432755098204</v>
      </c>
      <c r="AM72" s="65">
        <f t="shared" si="41"/>
        <v>2.8335735629962668</v>
      </c>
      <c r="AO72" s="58"/>
      <c r="AP72" s="59">
        <f t="shared" si="42"/>
        <v>-1</v>
      </c>
      <c r="AQ72" s="59">
        <f t="shared" si="43"/>
        <v>0</v>
      </c>
      <c r="AR72" s="59">
        <f t="shared" si="44"/>
        <v>-0.99887445498328997</v>
      </c>
      <c r="AS72" s="59">
        <f t="shared" si="45"/>
        <v>19.811996352295118</v>
      </c>
      <c r="AT72" s="59">
        <f t="shared" si="46"/>
        <v>-0.41871007612398403</v>
      </c>
      <c r="AU72" s="59">
        <f t="shared" si="47"/>
        <v>0.32419784560837916</v>
      </c>
      <c r="AV72" s="59">
        <f t="shared" si="48"/>
        <v>-0.27022049427860384</v>
      </c>
      <c r="AW72" s="59">
        <f t="shared" si="49"/>
        <v>0.26075788969883185</v>
      </c>
      <c r="AX72" s="59">
        <f t="shared" si="50"/>
        <v>-0.62927511360204735</v>
      </c>
      <c r="AY72" s="59">
        <f t="shared" si="51"/>
        <v>6.6886595638217683</v>
      </c>
      <c r="AZ72" s="65">
        <f t="shared" si="52"/>
        <v>2.3768531512436173</v>
      </c>
    </row>
    <row r="73" spans="1:52" ht="51">
      <c r="A73" s="515" t="s">
        <v>160</v>
      </c>
      <c r="B73" s="495"/>
      <c r="C73" s="496"/>
      <c r="D73" s="496">
        <v>1592313</v>
      </c>
      <c r="E73" s="496">
        <v>1211739</v>
      </c>
      <c r="F73" s="496">
        <v>2804080</v>
      </c>
      <c r="G73" s="496"/>
      <c r="H73" s="496">
        <v>1583471</v>
      </c>
      <c r="I73" s="496">
        <v>1804051</v>
      </c>
      <c r="J73" s="496">
        <v>2781838</v>
      </c>
      <c r="K73" s="496">
        <v>386794</v>
      </c>
      <c r="L73" s="497">
        <v>2846992</v>
      </c>
      <c r="M73" s="463"/>
      <c r="O73" s="58">
        <f t="shared" si="29"/>
        <v>0</v>
      </c>
      <c r="P73" s="59">
        <f t="shared" si="30"/>
        <v>0</v>
      </c>
      <c r="Q73" s="59">
        <f t="shared" si="31"/>
        <v>0.15863974824277752</v>
      </c>
      <c r="R73" s="59">
        <f t="shared" si="32"/>
        <v>7.7740540107746448E-2</v>
      </c>
      <c r="S73" s="59">
        <f t="shared" si="33"/>
        <v>0.12476886270953307</v>
      </c>
      <c r="T73" s="59">
        <f t="shared" si="34"/>
        <v>0</v>
      </c>
      <c r="U73" s="59">
        <f t="shared" si="35"/>
        <v>3.3759329076957625E-2</v>
      </c>
      <c r="V73" s="59">
        <f t="shared" si="36"/>
        <v>1.4326845851316465E-2</v>
      </c>
      <c r="W73" s="59">
        <f t="shared" si="37"/>
        <v>4.2853960203020673E-2</v>
      </c>
      <c r="X73" s="59">
        <f t="shared" si="38"/>
        <v>3.8065698340190727E-3</v>
      </c>
      <c r="Y73" s="60">
        <f t="shared" si="39"/>
        <v>1.7988339113280308E-2</v>
      </c>
      <c r="Z73" s="60">
        <f t="shared" si="40"/>
        <v>4.3080381376241011E-2</v>
      </c>
      <c r="AB73" s="68"/>
      <c r="AC73" s="59" t="str">
        <f t="shared" si="53"/>
        <v/>
      </c>
      <c r="AD73" s="59" t="str">
        <f t="shared" si="53"/>
        <v/>
      </c>
      <c r="AE73" s="59">
        <f t="shared" si="53"/>
        <v>-0.23900702939685858</v>
      </c>
      <c r="AF73" s="59">
        <f t="shared" si="53"/>
        <v>1.3140956922241505</v>
      </c>
      <c r="AG73" s="59">
        <f t="shared" si="28"/>
        <v>-1</v>
      </c>
      <c r="AH73" s="59" t="str">
        <f t="shared" si="26"/>
        <v/>
      </c>
      <c r="AI73" s="59">
        <f t="shared" si="26"/>
        <v>0.13930157230539741</v>
      </c>
      <c r="AJ73" s="59">
        <f t="shared" si="26"/>
        <v>0.54199520966979309</v>
      </c>
      <c r="AK73" s="59">
        <f t="shared" si="26"/>
        <v>-0.86095739579371622</v>
      </c>
      <c r="AL73" s="59">
        <f t="shared" si="27"/>
        <v>6.3604864604931821</v>
      </c>
      <c r="AM73" s="65">
        <f t="shared" si="41"/>
        <v>0.89370207278599256</v>
      </c>
      <c r="AO73" s="58"/>
      <c r="AP73" s="59">
        <f t="shared" si="42"/>
        <v>0</v>
      </c>
      <c r="AQ73" s="59">
        <f t="shared" si="43"/>
        <v>0</v>
      </c>
      <c r="AR73" s="59">
        <f t="shared" si="44"/>
        <v>-0.28872514197294952</v>
      </c>
      <c r="AS73" s="59">
        <f t="shared" si="45"/>
        <v>1.1730638484591518</v>
      </c>
      <c r="AT73" s="59">
        <f t="shared" si="46"/>
        <v>-1</v>
      </c>
      <c r="AU73" s="59">
        <f t="shared" si="47"/>
        <v>0</v>
      </c>
      <c r="AV73" s="59">
        <f t="shared" si="48"/>
        <v>9.0449437505166097E-2</v>
      </c>
      <c r="AW73" s="59">
        <f t="shared" si="49"/>
        <v>0.45897928817276301</v>
      </c>
      <c r="AX73" s="59">
        <f t="shared" si="50"/>
        <v>-0.87086226041953774</v>
      </c>
      <c r="AY73" s="59">
        <f t="shared" si="51"/>
        <v>6.2161631965619435</v>
      </c>
      <c r="AZ73" s="65">
        <f t="shared" si="52"/>
        <v>0.57790683683065369</v>
      </c>
    </row>
    <row r="74" spans="1:52" ht="51">
      <c r="A74" s="515" t="s">
        <v>28</v>
      </c>
      <c r="B74" s="495">
        <v>11139067</v>
      </c>
      <c r="C74" s="496">
        <v>2316747</v>
      </c>
      <c r="D74" s="496">
        <v>1765590</v>
      </c>
      <c r="E74" s="496">
        <v>1938542</v>
      </c>
      <c r="F74" s="496">
        <v>2279892</v>
      </c>
      <c r="G74" s="496">
        <v>1694780</v>
      </c>
      <c r="H74" s="496">
        <v>4919651</v>
      </c>
      <c r="I74" s="496">
        <v>22150443</v>
      </c>
      <c r="J74" s="496">
        <v>3459168</v>
      </c>
      <c r="K74" s="496">
        <v>9143969</v>
      </c>
      <c r="L74" s="497">
        <v>27975544</v>
      </c>
      <c r="M74" s="463"/>
      <c r="O74" s="58">
        <f t="shared" si="29"/>
        <v>0.27851205995721756</v>
      </c>
      <c r="P74" s="59">
        <f t="shared" si="30"/>
        <v>0.11403732779935115</v>
      </c>
      <c r="Q74" s="59">
        <f t="shared" si="31"/>
        <v>0.17590307502354471</v>
      </c>
      <c r="R74" s="59">
        <f t="shared" si="32"/>
        <v>0.12436944102777167</v>
      </c>
      <c r="S74" s="59">
        <f t="shared" si="33"/>
        <v>0.10144487031060553</v>
      </c>
      <c r="T74" s="59">
        <f t="shared" si="34"/>
        <v>6.9049491648286387E-2</v>
      </c>
      <c r="U74" s="59">
        <f t="shared" si="35"/>
        <v>0.10488611225136657</v>
      </c>
      <c r="V74" s="59">
        <f t="shared" si="36"/>
        <v>0.1759074341021245</v>
      </c>
      <c r="W74" s="59">
        <f t="shared" si="37"/>
        <v>5.3288166962836302E-2</v>
      </c>
      <c r="X74" s="59">
        <f t="shared" si="38"/>
        <v>8.9988874074069261E-2</v>
      </c>
      <c r="Y74" s="60">
        <f t="shared" si="39"/>
        <v>0.17675974233524164</v>
      </c>
      <c r="Z74" s="60">
        <f t="shared" si="40"/>
        <v>0.13310423595385593</v>
      </c>
      <c r="AB74" s="68"/>
      <c r="AC74" s="59">
        <f t="shared" si="53"/>
        <v>-0.79201606382293954</v>
      </c>
      <c r="AD74" s="59">
        <f t="shared" si="53"/>
        <v>-0.23790124687762626</v>
      </c>
      <c r="AE74" s="59">
        <f t="shared" si="53"/>
        <v>9.7957056847852497E-2</v>
      </c>
      <c r="AF74" s="59">
        <f t="shared" si="53"/>
        <v>0.17608594500402885</v>
      </c>
      <c r="AG74" s="59">
        <f t="shared" si="28"/>
        <v>-0.25664022681776155</v>
      </c>
      <c r="AH74" s="59">
        <f t="shared" si="26"/>
        <v>1.9028257354936926</v>
      </c>
      <c r="AI74" s="59">
        <f t="shared" si="26"/>
        <v>3.5024419415117052</v>
      </c>
      <c r="AJ74" s="59">
        <f t="shared" si="26"/>
        <v>-0.84383301047297343</v>
      </c>
      <c r="AK74" s="59">
        <f t="shared" si="26"/>
        <v>1.6434012456174432</v>
      </c>
      <c r="AL74" s="59">
        <f t="shared" si="27"/>
        <v>2.0594530668247018</v>
      </c>
      <c r="AM74" s="65">
        <f t="shared" si="41"/>
        <v>0.72517744433081233</v>
      </c>
      <c r="AO74" s="58"/>
      <c r="AP74" s="59">
        <f t="shared" si="42"/>
        <v>-0.80875040351534666</v>
      </c>
      <c r="AQ74" s="59">
        <f t="shared" si="43"/>
        <v>-0.29205875232478051</v>
      </c>
      <c r="AR74" s="59">
        <f t="shared" si="44"/>
        <v>2.6223999296992595E-2</v>
      </c>
      <c r="AS74" s="59">
        <f t="shared" si="45"/>
        <v>0.10440975209318148</v>
      </c>
      <c r="AT74" s="59">
        <f t="shared" si="46"/>
        <v>-0.295377033982547</v>
      </c>
      <c r="AU74" s="59">
        <f t="shared" si="47"/>
        <v>1.768482938840557</v>
      </c>
      <c r="AV74" s="59">
        <f t="shared" si="48"/>
        <v>3.3093816438664865</v>
      </c>
      <c r="AW74" s="59">
        <f t="shared" si="49"/>
        <v>-0.85224052462198263</v>
      </c>
      <c r="AX74" s="59">
        <f t="shared" si="50"/>
        <v>1.4550954264116682</v>
      </c>
      <c r="AY74" s="59">
        <f t="shared" si="51"/>
        <v>1.9994637910046094</v>
      </c>
      <c r="AZ74" s="65">
        <f t="shared" si="52"/>
        <v>0.64146308370688376</v>
      </c>
    </row>
    <row r="75" spans="1:52" ht="25.5">
      <c r="A75" s="515" t="s">
        <v>29</v>
      </c>
      <c r="B75" s="495">
        <v>4107406</v>
      </c>
      <c r="C75" s="496">
        <v>2651457</v>
      </c>
      <c r="D75" s="496">
        <v>670454</v>
      </c>
      <c r="E75" s="496">
        <v>1422309</v>
      </c>
      <c r="F75" s="496">
        <v>2684130</v>
      </c>
      <c r="G75" s="496">
        <v>5092036</v>
      </c>
      <c r="H75" s="496">
        <v>8579685</v>
      </c>
      <c r="I75" s="496">
        <v>22952797</v>
      </c>
      <c r="J75" s="496">
        <v>14438486</v>
      </c>
      <c r="K75" s="496">
        <v>18768367</v>
      </c>
      <c r="L75" s="497">
        <v>34660064</v>
      </c>
      <c r="M75" s="463"/>
      <c r="O75" s="58">
        <f t="shared" si="29"/>
        <v>0.10269819780603126</v>
      </c>
      <c r="P75" s="59">
        <f t="shared" si="30"/>
        <v>0.13051277116356866</v>
      </c>
      <c r="Q75" s="59">
        <f t="shared" si="31"/>
        <v>6.6796323190455115E-2</v>
      </c>
      <c r="R75" s="59">
        <f t="shared" si="32"/>
        <v>9.1249906011202697E-2</v>
      </c>
      <c r="S75" s="59">
        <f t="shared" si="33"/>
        <v>0.11943163086093798</v>
      </c>
      <c r="T75" s="59">
        <f t="shared" si="34"/>
        <v>0.20746202885021869</v>
      </c>
      <c r="U75" s="59">
        <f t="shared" si="35"/>
        <v>0.18291740694438813</v>
      </c>
      <c r="V75" s="59">
        <f t="shared" si="36"/>
        <v>0.18227931720087681</v>
      </c>
      <c r="W75" s="59">
        <f t="shared" si="37"/>
        <v>0.22242355753134121</v>
      </c>
      <c r="X75" s="59">
        <f t="shared" si="38"/>
        <v>0.18470581150689783</v>
      </c>
      <c r="Y75" s="60">
        <f t="shared" si="39"/>
        <v>0.21899499012290821</v>
      </c>
      <c r="Z75" s="60">
        <f t="shared" si="40"/>
        <v>0.15540654010807511</v>
      </c>
      <c r="AB75" s="68"/>
      <c r="AC75" s="59">
        <f t="shared" si="53"/>
        <v>-0.35446921974599055</v>
      </c>
      <c r="AD75" s="59">
        <f t="shared" si="53"/>
        <v>-0.74713751722166344</v>
      </c>
      <c r="AE75" s="59">
        <f t="shared" si="53"/>
        <v>1.1214117597926183</v>
      </c>
      <c r="AF75" s="59">
        <f t="shared" si="53"/>
        <v>0.88716375977372008</v>
      </c>
      <c r="AG75" s="59">
        <f t="shared" si="28"/>
        <v>0.89708993230581235</v>
      </c>
      <c r="AH75" s="59">
        <f t="shared" si="26"/>
        <v>0.68492229827126128</v>
      </c>
      <c r="AI75" s="59">
        <f t="shared" si="26"/>
        <v>1.675249382698782</v>
      </c>
      <c r="AJ75" s="59">
        <f t="shared" si="26"/>
        <v>-0.3709487344832092</v>
      </c>
      <c r="AK75" s="59">
        <f t="shared" si="26"/>
        <v>0.29988469705203169</v>
      </c>
      <c r="AL75" s="59">
        <f t="shared" si="27"/>
        <v>0.84672774141724738</v>
      </c>
      <c r="AM75" s="65">
        <f t="shared" si="41"/>
        <v>0.49398940998606095</v>
      </c>
      <c r="AO75" s="58"/>
      <c r="AP75" s="59">
        <f t="shared" si="42"/>
        <v>-0.40640847792734758</v>
      </c>
      <c r="AQ75" s="59">
        <f t="shared" si="43"/>
        <v>-0.76510684368013326</v>
      </c>
      <c r="AR75" s="59">
        <f t="shared" si="44"/>
        <v>0.98281312252791686</v>
      </c>
      <c r="AS75" s="59">
        <f t="shared" si="45"/>
        <v>0.77215115013026581</v>
      </c>
      <c r="AT75" s="59">
        <f t="shared" si="46"/>
        <v>0.79823173532886837</v>
      </c>
      <c r="AU75" s="59">
        <f t="shared" si="47"/>
        <v>0.60694408176130854</v>
      </c>
      <c r="AV75" s="59">
        <f t="shared" si="48"/>
        <v>1.560537311158865</v>
      </c>
      <c r="AW75" s="59">
        <f t="shared" si="49"/>
        <v>-0.40481477385108255</v>
      </c>
      <c r="AX75" s="59">
        <f t="shared" si="50"/>
        <v>0.20728587076440208</v>
      </c>
      <c r="AY75" s="59">
        <f t="shared" si="51"/>
        <v>0.81051739354632102</v>
      </c>
      <c r="AZ75" s="65">
        <f t="shared" si="52"/>
        <v>0.41621505697593841</v>
      </c>
    </row>
    <row r="76" spans="1:52" ht="51">
      <c r="A76" s="515" t="s">
        <v>161</v>
      </c>
      <c r="B76" s="495">
        <v>67822</v>
      </c>
      <c r="C76" s="496"/>
      <c r="D76" s="496"/>
      <c r="E76" s="496">
        <v>130805</v>
      </c>
      <c r="F76" s="496">
        <v>110405</v>
      </c>
      <c r="G76" s="496"/>
      <c r="H76" s="496">
        <v>45925</v>
      </c>
      <c r="I76" s="496">
        <v>120552</v>
      </c>
      <c r="J76" s="496">
        <v>165830</v>
      </c>
      <c r="K76" s="496">
        <v>224059</v>
      </c>
      <c r="L76" s="497">
        <v>444636</v>
      </c>
      <c r="M76" s="463"/>
      <c r="O76" s="58">
        <f t="shared" si="29"/>
        <v>1.6957654470000413E-3</v>
      </c>
      <c r="P76" s="59">
        <f t="shared" si="30"/>
        <v>0</v>
      </c>
      <c r="Q76" s="59">
        <f t="shared" si="31"/>
        <v>0</v>
      </c>
      <c r="R76" s="59">
        <f t="shared" si="32"/>
        <v>8.3919485539326322E-3</v>
      </c>
      <c r="S76" s="59">
        <f t="shared" si="33"/>
        <v>4.9125225697719032E-3</v>
      </c>
      <c r="T76" s="59">
        <f t="shared" si="34"/>
        <v>0</v>
      </c>
      <c r="U76" s="59">
        <f t="shared" si="35"/>
        <v>9.79113092604335E-4</v>
      </c>
      <c r="V76" s="59">
        <f t="shared" si="36"/>
        <v>9.5736202638833511E-4</v>
      </c>
      <c r="W76" s="59">
        <f t="shared" si="37"/>
        <v>2.5545959974904789E-3</v>
      </c>
      <c r="X76" s="59">
        <f t="shared" si="38"/>
        <v>2.2050399707350152E-3</v>
      </c>
      <c r="Y76" s="60">
        <f t="shared" si="39"/>
        <v>2.8093732437507739E-3</v>
      </c>
      <c r="Z76" s="60">
        <f t="shared" si="40"/>
        <v>2.2277928092430468E-3</v>
      </c>
      <c r="AB76" s="68"/>
      <c r="AC76" s="59">
        <f t="shared" si="53"/>
        <v>-1</v>
      </c>
      <c r="AD76" s="59" t="str">
        <f t="shared" si="53"/>
        <v/>
      </c>
      <c r="AE76" s="59" t="str">
        <f t="shared" si="53"/>
        <v/>
      </c>
      <c r="AF76" s="59">
        <f t="shared" si="53"/>
        <v>-0.15595734108023396</v>
      </c>
      <c r="AG76" s="59">
        <f t="shared" si="28"/>
        <v>-1</v>
      </c>
      <c r="AH76" s="59" t="str">
        <f t="shared" si="26"/>
        <v/>
      </c>
      <c r="AI76" s="59">
        <f t="shared" si="26"/>
        <v>1.6249755035383777</v>
      </c>
      <c r="AJ76" s="59">
        <f t="shared" si="26"/>
        <v>0.37558895746233989</v>
      </c>
      <c r="AK76" s="59">
        <f t="shared" si="26"/>
        <v>0.35113670626545268</v>
      </c>
      <c r="AL76" s="59">
        <f t="shared" si="27"/>
        <v>0.98445945041261451</v>
      </c>
      <c r="AM76" s="65">
        <f t="shared" si="41"/>
        <v>0.16860046808550724</v>
      </c>
      <c r="AO76" s="58"/>
      <c r="AP76" s="59">
        <f t="shared" si="42"/>
        <v>-1</v>
      </c>
      <c r="AQ76" s="59">
        <f t="shared" si="43"/>
        <v>0</v>
      </c>
      <c r="AR76" s="59">
        <f t="shared" si="44"/>
        <v>0</v>
      </c>
      <c r="AS76" s="59">
        <f t="shared" si="45"/>
        <v>-0.20739725897289318</v>
      </c>
      <c r="AT76" s="59">
        <f t="shared" si="46"/>
        <v>-1</v>
      </c>
      <c r="AU76" s="59">
        <f t="shared" si="47"/>
        <v>0</v>
      </c>
      <c r="AV76" s="59">
        <f t="shared" si="48"/>
        <v>1.512419126663838</v>
      </c>
      <c r="AW76" s="59">
        <f t="shared" si="49"/>
        <v>0.3015317981477339</v>
      </c>
      <c r="AX76" s="59">
        <f t="shared" si="50"/>
        <v>0.25488688238641477</v>
      </c>
      <c r="AY76" s="59">
        <f t="shared" si="51"/>
        <v>0.94554848079668097</v>
      </c>
      <c r="AZ76" s="65">
        <f t="shared" si="52"/>
        <v>8.0698902902177447E-2</v>
      </c>
    </row>
    <row r="77" spans="1:52" ht="38.25">
      <c r="A77" s="515" t="s">
        <v>163</v>
      </c>
      <c r="B77" s="495"/>
      <c r="C77" s="496"/>
      <c r="D77" s="496"/>
      <c r="E77" s="496"/>
      <c r="F77" s="496">
        <v>1667</v>
      </c>
      <c r="G77" s="496">
        <v>1667</v>
      </c>
      <c r="H77" s="496"/>
      <c r="I77" s="496"/>
      <c r="J77" s="496"/>
      <c r="K77" s="496"/>
      <c r="L77" s="497"/>
      <c r="M77" s="463"/>
      <c r="O77" s="58">
        <f t="shared" si="29"/>
        <v>0</v>
      </c>
      <c r="P77" s="59">
        <f t="shared" si="30"/>
        <v>0</v>
      </c>
      <c r="Q77" s="59">
        <f t="shared" si="31"/>
        <v>0</v>
      </c>
      <c r="R77" s="59">
        <f t="shared" si="32"/>
        <v>0</v>
      </c>
      <c r="S77" s="59">
        <f t="shared" si="33"/>
        <v>7.4173951576556887E-5</v>
      </c>
      <c r="T77" s="59">
        <f t="shared" si="34"/>
        <v>6.7917666350613895E-5</v>
      </c>
      <c r="U77" s="59">
        <f t="shared" si="35"/>
        <v>0</v>
      </c>
      <c r="V77" s="59">
        <f t="shared" si="36"/>
        <v>0</v>
      </c>
      <c r="W77" s="59">
        <f t="shared" si="37"/>
        <v>0</v>
      </c>
      <c r="X77" s="59">
        <f t="shared" si="38"/>
        <v>0</v>
      </c>
      <c r="Y77" s="60">
        <f t="shared" si="39"/>
        <v>0</v>
      </c>
      <c r="Z77" s="60">
        <f t="shared" si="40"/>
        <v>1.2917419811560981E-5</v>
      </c>
      <c r="AB77" s="68"/>
      <c r="AC77" s="59" t="str">
        <f t="shared" si="53"/>
        <v/>
      </c>
      <c r="AD77" s="59" t="str">
        <f t="shared" si="53"/>
        <v/>
      </c>
      <c r="AE77" s="59" t="str">
        <f t="shared" si="53"/>
        <v/>
      </c>
      <c r="AF77" s="59" t="str">
        <f t="shared" si="53"/>
        <v/>
      </c>
      <c r="AG77" s="59">
        <f t="shared" si="28"/>
        <v>0</v>
      </c>
      <c r="AH77" s="59">
        <f t="shared" si="26"/>
        <v>-1</v>
      </c>
      <c r="AI77" s="59" t="str">
        <f t="shared" si="26"/>
        <v/>
      </c>
      <c r="AJ77" s="59" t="str">
        <f t="shared" si="26"/>
        <v/>
      </c>
      <c r="AK77" s="59" t="str">
        <f t="shared" si="26"/>
        <v/>
      </c>
      <c r="AL77" s="59" t="str">
        <f t="shared" si="27"/>
        <v/>
      </c>
      <c r="AM77" s="65">
        <f t="shared" si="41"/>
        <v>-0.5</v>
      </c>
      <c r="AO77" s="58"/>
      <c r="AP77" s="59">
        <f t="shared" si="42"/>
        <v>0</v>
      </c>
      <c r="AQ77" s="59">
        <f t="shared" si="43"/>
        <v>0</v>
      </c>
      <c r="AR77" s="59">
        <f t="shared" si="44"/>
        <v>0</v>
      </c>
      <c r="AS77" s="59">
        <f t="shared" si="45"/>
        <v>0</v>
      </c>
      <c r="AT77" s="59">
        <f t="shared" si="46"/>
        <v>-5.2110443102076465E-2</v>
      </c>
      <c r="AU77" s="59">
        <f t="shared" si="47"/>
        <v>-1</v>
      </c>
      <c r="AV77" s="59">
        <f t="shared" si="48"/>
        <v>0</v>
      </c>
      <c r="AW77" s="59">
        <f t="shared" si="49"/>
        <v>0</v>
      </c>
      <c r="AX77" s="59">
        <f t="shared" si="50"/>
        <v>0</v>
      </c>
      <c r="AY77" s="59">
        <f t="shared" si="51"/>
        <v>0</v>
      </c>
      <c r="AZ77" s="65">
        <f t="shared" si="52"/>
        <v>-0.10521104431020764</v>
      </c>
    </row>
    <row r="78" spans="1:52" ht="38.25">
      <c r="A78" s="515" t="s">
        <v>164</v>
      </c>
      <c r="B78" s="495"/>
      <c r="C78" s="496"/>
      <c r="D78" s="496"/>
      <c r="E78" s="496"/>
      <c r="F78" s="496"/>
      <c r="G78" s="496"/>
      <c r="H78" s="496"/>
      <c r="I78" s="496">
        <v>17998</v>
      </c>
      <c r="J78" s="496">
        <v>172</v>
      </c>
      <c r="K78" s="496">
        <v>2274</v>
      </c>
      <c r="L78" s="497"/>
      <c r="M78" s="463"/>
      <c r="O78" s="58">
        <f t="shared" si="29"/>
        <v>0</v>
      </c>
      <c r="P78" s="59">
        <f t="shared" si="30"/>
        <v>0</v>
      </c>
      <c r="Q78" s="59">
        <f t="shared" si="31"/>
        <v>0</v>
      </c>
      <c r="R78" s="59">
        <f t="shared" si="32"/>
        <v>0</v>
      </c>
      <c r="S78" s="59">
        <f t="shared" si="33"/>
        <v>0</v>
      </c>
      <c r="T78" s="59">
        <f t="shared" si="34"/>
        <v>0</v>
      </c>
      <c r="U78" s="59">
        <f t="shared" si="35"/>
        <v>0</v>
      </c>
      <c r="V78" s="59">
        <f t="shared" si="36"/>
        <v>1.4293086594114785E-4</v>
      </c>
      <c r="W78" s="59">
        <f t="shared" si="37"/>
        <v>2.6496442837144204E-6</v>
      </c>
      <c r="X78" s="59">
        <f t="shared" si="38"/>
        <v>2.2379198753236532E-5</v>
      </c>
      <c r="Y78" s="60">
        <f t="shared" si="39"/>
        <v>0</v>
      </c>
      <c r="Z78" s="60">
        <f t="shared" si="40"/>
        <v>1.5269064452554438E-5</v>
      </c>
      <c r="AB78" s="68"/>
      <c r="AC78" s="59" t="str">
        <f t="shared" si="53"/>
        <v/>
      </c>
      <c r="AD78" s="59" t="str">
        <f t="shared" si="53"/>
        <v/>
      </c>
      <c r="AE78" s="59" t="str">
        <f t="shared" si="53"/>
        <v/>
      </c>
      <c r="AF78" s="59" t="str">
        <f t="shared" si="53"/>
        <v/>
      </c>
      <c r="AG78" s="59" t="str">
        <f t="shared" si="28"/>
        <v/>
      </c>
      <c r="AH78" s="59" t="str">
        <f t="shared" si="26"/>
        <v/>
      </c>
      <c r="AI78" s="59" t="str">
        <f t="shared" si="26"/>
        <v/>
      </c>
      <c r="AJ78" s="59">
        <f t="shared" si="26"/>
        <v>-0.99044338259806641</v>
      </c>
      <c r="AK78" s="59">
        <f t="shared" si="26"/>
        <v>12.220930232558139</v>
      </c>
      <c r="AL78" s="59">
        <f t="shared" si="27"/>
        <v>-1</v>
      </c>
      <c r="AM78" s="65">
        <f t="shared" si="41"/>
        <v>3.4101622833200245</v>
      </c>
      <c r="AO78" s="58"/>
      <c r="AP78" s="59">
        <f t="shared" si="42"/>
        <v>0</v>
      </c>
      <c r="AQ78" s="59">
        <f t="shared" si="43"/>
        <v>0</v>
      </c>
      <c r="AR78" s="59">
        <f t="shared" si="44"/>
        <v>0</v>
      </c>
      <c r="AS78" s="59">
        <f t="shared" si="45"/>
        <v>0</v>
      </c>
      <c r="AT78" s="59">
        <f t="shared" si="46"/>
        <v>0</v>
      </c>
      <c r="AU78" s="59">
        <f t="shared" si="47"/>
        <v>0</v>
      </c>
      <c r="AV78" s="59">
        <f t="shared" si="48"/>
        <v>0</v>
      </c>
      <c r="AW78" s="59">
        <f t="shared" si="49"/>
        <v>-0.99095787926773249</v>
      </c>
      <c r="AX78" s="59">
        <f t="shared" si="50"/>
        <v>11.279121605422253</v>
      </c>
      <c r="AY78" s="59">
        <f t="shared" si="51"/>
        <v>-1</v>
      </c>
      <c r="AZ78" s="65">
        <f t="shared" si="52"/>
        <v>0.92881637261545202</v>
      </c>
    </row>
    <row r="79" spans="1:52" ht="38.25">
      <c r="A79" s="515" t="s">
        <v>165</v>
      </c>
      <c r="B79" s="495"/>
      <c r="C79" s="496"/>
      <c r="D79" s="496"/>
      <c r="E79" s="496"/>
      <c r="F79" s="496"/>
      <c r="G79" s="496"/>
      <c r="H79" s="496"/>
      <c r="I79" s="496"/>
      <c r="J79" s="496"/>
      <c r="K79" s="496">
        <v>185544</v>
      </c>
      <c r="L79" s="497"/>
      <c r="M79" s="463"/>
      <c r="O79" s="58">
        <f t="shared" si="29"/>
        <v>0</v>
      </c>
      <c r="P79" s="59">
        <f t="shared" si="30"/>
        <v>0</v>
      </c>
      <c r="Q79" s="59">
        <f t="shared" si="31"/>
        <v>0</v>
      </c>
      <c r="R79" s="59">
        <f t="shared" si="32"/>
        <v>0</v>
      </c>
      <c r="S79" s="59">
        <f t="shared" si="33"/>
        <v>0</v>
      </c>
      <c r="T79" s="59">
        <f t="shared" si="34"/>
        <v>0</v>
      </c>
      <c r="U79" s="59">
        <f t="shared" si="35"/>
        <v>0</v>
      </c>
      <c r="V79" s="59">
        <f t="shared" si="36"/>
        <v>0</v>
      </c>
      <c r="W79" s="59">
        <f t="shared" si="37"/>
        <v>0</v>
      </c>
      <c r="X79" s="59">
        <f t="shared" si="38"/>
        <v>1.8260009030213365E-3</v>
      </c>
      <c r="Y79" s="60">
        <f t="shared" si="39"/>
        <v>0</v>
      </c>
      <c r="Z79" s="60">
        <f t="shared" si="40"/>
        <v>1.6600008209284876E-4</v>
      </c>
      <c r="AB79" s="68"/>
      <c r="AC79" s="59" t="str">
        <f t="shared" si="53"/>
        <v/>
      </c>
      <c r="AD79" s="59" t="str">
        <f t="shared" si="53"/>
        <v/>
      </c>
      <c r="AE79" s="59" t="str">
        <f t="shared" si="53"/>
        <v/>
      </c>
      <c r="AF79" s="59" t="str">
        <f t="shared" si="53"/>
        <v/>
      </c>
      <c r="AG79" s="59" t="str">
        <f t="shared" si="28"/>
        <v/>
      </c>
      <c r="AH79" s="59" t="str">
        <f t="shared" si="26"/>
        <v/>
      </c>
      <c r="AI79" s="59" t="str">
        <f t="shared" si="26"/>
        <v/>
      </c>
      <c r="AJ79" s="59" t="str">
        <f t="shared" si="26"/>
        <v/>
      </c>
      <c r="AK79" s="59" t="str">
        <f t="shared" si="26"/>
        <v/>
      </c>
      <c r="AL79" s="59">
        <f t="shared" si="27"/>
        <v>-1</v>
      </c>
      <c r="AM79" s="65">
        <f t="shared" si="41"/>
        <v>-1</v>
      </c>
      <c r="AO79" s="58"/>
      <c r="AP79" s="59">
        <f t="shared" si="42"/>
        <v>0</v>
      </c>
      <c r="AQ79" s="59">
        <f t="shared" si="43"/>
        <v>0</v>
      </c>
      <c r="AR79" s="59">
        <f t="shared" si="44"/>
        <v>0</v>
      </c>
      <c r="AS79" s="59">
        <f t="shared" si="45"/>
        <v>0</v>
      </c>
      <c r="AT79" s="59">
        <f t="shared" si="46"/>
        <v>0</v>
      </c>
      <c r="AU79" s="59">
        <f t="shared" si="47"/>
        <v>0</v>
      </c>
      <c r="AV79" s="59">
        <f t="shared" si="48"/>
        <v>0</v>
      </c>
      <c r="AW79" s="59">
        <f t="shared" si="49"/>
        <v>0</v>
      </c>
      <c r="AX79" s="59">
        <f t="shared" si="50"/>
        <v>0</v>
      </c>
      <c r="AY79" s="59">
        <f t="shared" si="51"/>
        <v>-1</v>
      </c>
      <c r="AZ79" s="65">
        <f t="shared" si="52"/>
        <v>-0.1</v>
      </c>
    </row>
    <row r="80" spans="1:52" ht="38.25">
      <c r="A80" s="515" t="s">
        <v>166</v>
      </c>
      <c r="B80" s="495">
        <v>1475434</v>
      </c>
      <c r="C80" s="496">
        <v>1123862</v>
      </c>
      <c r="D80" s="496">
        <v>879607</v>
      </c>
      <c r="E80" s="496">
        <v>594357</v>
      </c>
      <c r="F80" s="496">
        <v>1204211</v>
      </c>
      <c r="G80" s="496">
        <v>1337444</v>
      </c>
      <c r="H80" s="496">
        <v>2239509</v>
      </c>
      <c r="I80" s="496">
        <v>2337652</v>
      </c>
      <c r="J80" s="496">
        <v>2500711</v>
      </c>
      <c r="K80" s="496">
        <v>4900892</v>
      </c>
      <c r="L80" s="497">
        <v>8847091</v>
      </c>
      <c r="M80" s="463"/>
      <c r="O80" s="58">
        <f t="shared" si="29"/>
        <v>3.6890536942718571E-2</v>
      </c>
      <c r="P80" s="59">
        <f t="shared" si="30"/>
        <v>5.5319902991234855E-2</v>
      </c>
      <c r="Q80" s="59">
        <f t="shared" si="31"/>
        <v>8.7633921868743636E-2</v>
      </c>
      <c r="R80" s="59">
        <f t="shared" si="32"/>
        <v>3.8131672081875595E-2</v>
      </c>
      <c r="S80" s="59">
        <f t="shared" si="33"/>
        <v>5.3581936653843518E-2</v>
      </c>
      <c r="T80" s="59">
        <f t="shared" si="34"/>
        <v>5.4490747063365597E-2</v>
      </c>
      <c r="U80" s="59">
        <f t="shared" si="35"/>
        <v>4.7745946279918169E-2</v>
      </c>
      <c r="V80" s="59">
        <f t="shared" si="36"/>
        <v>1.8564430749475284E-2</v>
      </c>
      <c r="W80" s="59">
        <f t="shared" si="37"/>
        <v>3.8523224455649839E-2</v>
      </c>
      <c r="X80" s="59">
        <f t="shared" si="38"/>
        <v>4.8231326357144631E-2</v>
      </c>
      <c r="Y80" s="60">
        <f t="shared" si="39"/>
        <v>5.5899164126225219E-2</v>
      </c>
      <c r="Z80" s="60">
        <f t="shared" si="40"/>
        <v>4.8637528142744996E-2</v>
      </c>
      <c r="AB80" s="68"/>
      <c r="AC80" s="59">
        <f t="shared" si="53"/>
        <v>-0.23828378632998837</v>
      </c>
      <c r="AD80" s="59">
        <f t="shared" si="53"/>
        <v>-0.2173354023892613</v>
      </c>
      <c r="AE80" s="59">
        <f t="shared" si="53"/>
        <v>-0.32429255337895224</v>
      </c>
      <c r="AF80" s="59">
        <f t="shared" si="53"/>
        <v>1.0260735551192295</v>
      </c>
      <c r="AG80" s="59">
        <f t="shared" si="28"/>
        <v>0.11063924843735862</v>
      </c>
      <c r="AH80" s="59">
        <f t="shared" si="26"/>
        <v>0.67446936096015975</v>
      </c>
      <c r="AI80" s="59">
        <f t="shared" si="26"/>
        <v>4.3823445228396096E-2</v>
      </c>
      <c r="AJ80" s="59">
        <f t="shared" si="26"/>
        <v>6.9753325131371113E-2</v>
      </c>
      <c r="AK80" s="59">
        <f t="shared" si="26"/>
        <v>0.95979943304124316</v>
      </c>
      <c r="AL80" s="59">
        <f t="shared" si="27"/>
        <v>0.80520015540028234</v>
      </c>
      <c r="AM80" s="65">
        <f t="shared" si="41"/>
        <v>0.29098467812198392</v>
      </c>
      <c r="AO80" s="58"/>
      <c r="AP80" s="59">
        <f t="shared" si="42"/>
        <v>-0.29957129777470193</v>
      </c>
      <c r="AQ80" s="59">
        <f t="shared" si="43"/>
        <v>-0.27295439144380984</v>
      </c>
      <c r="AR80" s="59">
        <f t="shared" si="44"/>
        <v>-0.36843868901668597</v>
      </c>
      <c r="AS80" s="59">
        <f t="shared" si="45"/>
        <v>0.90259513111017897</v>
      </c>
      <c r="AT80" s="59">
        <f t="shared" si="46"/>
        <v>5.2763345074730683E-2</v>
      </c>
      <c r="AU80" s="59">
        <f t="shared" si="47"/>
        <v>0.59697490646679752</v>
      </c>
      <c r="AV80" s="59">
        <f t="shared" si="48"/>
        <v>-9.346810601108535E-4</v>
      </c>
      <c r="AW80" s="59">
        <f t="shared" si="49"/>
        <v>1.2161344622358961E-2</v>
      </c>
      <c r="AX80" s="59">
        <f t="shared" si="50"/>
        <v>0.82019079877518641</v>
      </c>
      <c r="AY80" s="59">
        <f t="shared" si="51"/>
        <v>0.76980407392184547</v>
      </c>
      <c r="AZ80" s="65">
        <f t="shared" si="52"/>
        <v>0.2212590540675789</v>
      </c>
    </row>
    <row r="81" spans="1:52" ht="38.25">
      <c r="A81" s="515" t="s">
        <v>168</v>
      </c>
      <c r="B81" s="495"/>
      <c r="C81" s="496">
        <v>20437</v>
      </c>
      <c r="D81" s="496">
        <v>29688</v>
      </c>
      <c r="E81" s="496">
        <v>83616</v>
      </c>
      <c r="F81" s="496">
        <v>110786</v>
      </c>
      <c r="G81" s="496">
        <v>213705</v>
      </c>
      <c r="H81" s="496">
        <v>215679</v>
      </c>
      <c r="I81" s="496">
        <v>47135</v>
      </c>
      <c r="J81" s="496">
        <v>12954</v>
      </c>
      <c r="K81" s="496">
        <v>209711</v>
      </c>
      <c r="L81" s="497">
        <v>448996</v>
      </c>
      <c r="M81" s="463"/>
      <c r="O81" s="58">
        <f t="shared" si="29"/>
        <v>0</v>
      </c>
      <c r="P81" s="59">
        <f t="shared" si="30"/>
        <v>1.0059712468540325E-3</v>
      </c>
      <c r="Q81" s="59">
        <f t="shared" si="31"/>
        <v>2.957770768581038E-3</v>
      </c>
      <c r="R81" s="59">
        <f t="shared" si="32"/>
        <v>5.3644827818938954E-3</v>
      </c>
      <c r="S81" s="59">
        <f t="shared" si="33"/>
        <v>4.929475344547349E-3</v>
      </c>
      <c r="T81" s="59">
        <f t="shared" si="34"/>
        <v>8.7068655593628922E-3</v>
      </c>
      <c r="U81" s="59">
        <f t="shared" si="35"/>
        <v>4.5982391442528116E-3</v>
      </c>
      <c r="V81" s="59">
        <f t="shared" si="36"/>
        <v>3.7432194500144482E-4</v>
      </c>
      <c r="W81" s="59">
        <f t="shared" si="37"/>
        <v>1.9955518634439886E-4</v>
      </c>
      <c r="X81" s="59">
        <f t="shared" si="38"/>
        <v>2.0638364774582174E-3</v>
      </c>
      <c r="Y81" s="60">
        <f t="shared" si="39"/>
        <v>2.8369213220502216E-3</v>
      </c>
      <c r="Z81" s="60">
        <f t="shared" si="40"/>
        <v>3.0034036160314819E-3</v>
      </c>
      <c r="AB81" s="68"/>
      <c r="AC81" s="59" t="str">
        <f t="shared" si="53"/>
        <v/>
      </c>
      <c r="AD81" s="59">
        <f t="shared" si="53"/>
        <v>0.4526593922787101</v>
      </c>
      <c r="AE81" s="59">
        <f t="shared" si="53"/>
        <v>1.816491511721908</v>
      </c>
      <c r="AF81" s="59">
        <f t="shared" si="53"/>
        <v>0.32493781094527363</v>
      </c>
      <c r="AG81" s="59">
        <f t="shared" si="28"/>
        <v>0.92898922246493232</v>
      </c>
      <c r="AH81" s="59">
        <f t="shared" si="26"/>
        <v>9.2370323576893565E-3</v>
      </c>
      <c r="AI81" s="59">
        <f t="shared" si="26"/>
        <v>-0.78145762916185624</v>
      </c>
      <c r="AJ81" s="59">
        <f t="shared" si="26"/>
        <v>-0.72517237721438421</v>
      </c>
      <c r="AK81" s="59">
        <f t="shared" si="26"/>
        <v>15.188899181719933</v>
      </c>
      <c r="AL81" s="59">
        <f t="shared" si="27"/>
        <v>1.1410226454501671</v>
      </c>
      <c r="AM81" s="65">
        <f t="shared" si="41"/>
        <v>2.0395118656180413</v>
      </c>
      <c r="AO81" s="58"/>
      <c r="AP81" s="59">
        <f t="shared" si="42"/>
        <v>0</v>
      </c>
      <c r="AQ81" s="59">
        <f t="shared" si="43"/>
        <v>0.34942813959935903</v>
      </c>
      <c r="AR81" s="59">
        <f t="shared" si="44"/>
        <v>1.6324810839535542</v>
      </c>
      <c r="AS81" s="59">
        <f t="shared" si="45"/>
        <v>0.24418988726197166</v>
      </c>
      <c r="AT81" s="59">
        <f t="shared" si="46"/>
        <v>0.8284687393431549</v>
      </c>
      <c r="AU81" s="59">
        <f t="shared" si="47"/>
        <v>-3.7470465014619814E-2</v>
      </c>
      <c r="AV81" s="59">
        <f t="shared" si="48"/>
        <v>-0.79082851183179192</v>
      </c>
      <c r="AW81" s="59">
        <f t="shared" si="49"/>
        <v>-0.73996818735394476</v>
      </c>
      <c r="AX81" s="59">
        <f t="shared" si="50"/>
        <v>14.035663770520975</v>
      </c>
      <c r="AY81" s="59">
        <f t="shared" si="51"/>
        <v>1.0990418092648695</v>
      </c>
      <c r="AZ81" s="65">
        <f t="shared" si="52"/>
        <v>1.6621006265743528</v>
      </c>
    </row>
    <row r="82" spans="1:52" ht="38.25">
      <c r="A82" s="515" t="s">
        <v>30</v>
      </c>
      <c r="B82" s="495">
        <v>2196779</v>
      </c>
      <c r="C82" s="496">
        <v>45666</v>
      </c>
      <c r="D82" s="496">
        <v>142652</v>
      </c>
      <c r="E82" s="496">
        <v>185804</v>
      </c>
      <c r="F82" s="496">
        <v>173359</v>
      </c>
      <c r="G82" s="496">
        <v>629722</v>
      </c>
      <c r="H82" s="496">
        <v>1170509</v>
      </c>
      <c r="I82" s="496">
        <v>2302873</v>
      </c>
      <c r="J82" s="496">
        <v>1555315</v>
      </c>
      <c r="K82" s="496">
        <v>977432</v>
      </c>
      <c r="L82" s="497">
        <v>2694537</v>
      </c>
      <c r="M82" s="463"/>
      <c r="O82" s="58">
        <f t="shared" si="29"/>
        <v>5.4926453405905219E-2</v>
      </c>
      <c r="P82" s="59">
        <f t="shared" si="30"/>
        <v>2.24781929631728E-3</v>
      </c>
      <c r="Q82" s="59">
        <f t="shared" si="31"/>
        <v>1.4212204112086442E-2</v>
      </c>
      <c r="R82" s="59">
        <f t="shared" si="32"/>
        <v>1.1920474057680508E-2</v>
      </c>
      <c r="S82" s="59">
        <f t="shared" si="33"/>
        <v>7.7136905047152518E-3</v>
      </c>
      <c r="T82" s="59">
        <f t="shared" si="34"/>
        <v>2.5656417930198728E-2</v>
      </c>
      <c r="U82" s="59">
        <f t="shared" si="35"/>
        <v>2.495505034101704E-2</v>
      </c>
      <c r="V82" s="59">
        <f t="shared" si="36"/>
        <v>1.8288233806116733E-2</v>
      </c>
      <c r="W82" s="59">
        <f t="shared" si="37"/>
        <v>2.395948546003078E-2</v>
      </c>
      <c r="X82" s="59">
        <f t="shared" si="38"/>
        <v>9.6192370254061087E-3</v>
      </c>
      <c r="Y82" s="60">
        <f t="shared" si="39"/>
        <v>1.7025072535954082E-2</v>
      </c>
      <c r="Z82" s="60">
        <f t="shared" si="40"/>
        <v>1.9138558043220746E-2</v>
      </c>
      <c r="AB82" s="68"/>
      <c r="AC82" s="59">
        <f t="shared" si="53"/>
        <v>-0.97921229217868522</v>
      </c>
      <c r="AD82" s="59">
        <f t="shared" si="53"/>
        <v>2.1238120264529408</v>
      </c>
      <c r="AE82" s="59">
        <f t="shared" si="53"/>
        <v>0.30249838768471515</v>
      </c>
      <c r="AF82" s="59">
        <f t="shared" si="53"/>
        <v>-6.6979182364211742E-2</v>
      </c>
      <c r="AG82" s="59">
        <f t="shared" si="28"/>
        <v>2.6324736529398534</v>
      </c>
      <c r="AH82" s="59">
        <f t="shared" si="26"/>
        <v>0.85877101324076333</v>
      </c>
      <c r="AI82" s="59">
        <f t="shared" si="26"/>
        <v>0.96741161323834324</v>
      </c>
      <c r="AJ82" s="59">
        <f t="shared" si="26"/>
        <v>-0.3246197250130598</v>
      </c>
      <c r="AK82" s="59">
        <f t="shared" si="26"/>
        <v>-0.37155367240719728</v>
      </c>
      <c r="AL82" s="59">
        <f t="shared" si="27"/>
        <v>1.7567513648008251</v>
      </c>
      <c r="AM82" s="65">
        <f t="shared" si="41"/>
        <v>0.68993531863942859</v>
      </c>
      <c r="AO82" s="58"/>
      <c r="AP82" s="59">
        <f t="shared" si="42"/>
        <v>-0.98088486637120476</v>
      </c>
      <c r="AQ82" s="59">
        <f t="shared" si="43"/>
        <v>1.9018225977268375</v>
      </c>
      <c r="AR82" s="59">
        <f t="shared" si="44"/>
        <v>0.21740198867624549</v>
      </c>
      <c r="AS82" s="59">
        <f t="shared" si="45"/>
        <v>-0.12384184652475505</v>
      </c>
      <c r="AT82" s="59">
        <f t="shared" si="46"/>
        <v>2.4431838413285396</v>
      </c>
      <c r="AU82" s="59">
        <f t="shared" si="47"/>
        <v>0.77274707690754174</v>
      </c>
      <c r="AV82" s="59">
        <f t="shared" si="48"/>
        <v>0.88305093150683711</v>
      </c>
      <c r="AW82" s="59">
        <f t="shared" si="49"/>
        <v>-0.36097996500431428</v>
      </c>
      <c r="AX82" s="59">
        <f t="shared" si="50"/>
        <v>-0.41632179103482614</v>
      </c>
      <c r="AY82" s="59">
        <f t="shared" si="51"/>
        <v>1.7026974164713971</v>
      </c>
      <c r="AZ82" s="65">
        <f t="shared" si="52"/>
        <v>0.60388753836822973</v>
      </c>
    </row>
    <row r="83" spans="1:52" ht="25.5">
      <c r="A83" s="515" t="s">
        <v>170</v>
      </c>
      <c r="B83" s="495"/>
      <c r="C83" s="496"/>
      <c r="D83" s="496"/>
      <c r="E83" s="496"/>
      <c r="F83" s="496"/>
      <c r="G83" s="496"/>
      <c r="H83" s="496"/>
      <c r="I83" s="496"/>
      <c r="J83" s="496"/>
      <c r="K83" s="496"/>
      <c r="L83" s="497">
        <v>77</v>
      </c>
      <c r="M83" s="463"/>
      <c r="O83" s="58">
        <f t="shared" si="29"/>
        <v>0</v>
      </c>
      <c r="P83" s="59">
        <f t="shared" si="30"/>
        <v>0</v>
      </c>
      <c r="Q83" s="59">
        <f t="shared" si="31"/>
        <v>0</v>
      </c>
      <c r="R83" s="59">
        <f t="shared" si="32"/>
        <v>0</v>
      </c>
      <c r="S83" s="59">
        <f t="shared" si="33"/>
        <v>0</v>
      </c>
      <c r="T83" s="59">
        <f t="shared" si="34"/>
        <v>0</v>
      </c>
      <c r="U83" s="59">
        <f t="shared" si="35"/>
        <v>0</v>
      </c>
      <c r="V83" s="59">
        <f t="shared" si="36"/>
        <v>0</v>
      </c>
      <c r="W83" s="59">
        <f t="shared" si="37"/>
        <v>0</v>
      </c>
      <c r="X83" s="59">
        <f t="shared" si="38"/>
        <v>0</v>
      </c>
      <c r="Y83" s="60">
        <f t="shared" si="39"/>
        <v>4.8651422684805009E-7</v>
      </c>
      <c r="Z83" s="60">
        <f t="shared" si="40"/>
        <v>4.4228566077095462E-8</v>
      </c>
      <c r="AB83" s="68"/>
      <c r="AC83" s="59" t="str">
        <f t="shared" si="53"/>
        <v/>
      </c>
      <c r="AD83" s="59" t="str">
        <f t="shared" si="53"/>
        <v/>
      </c>
      <c r="AE83" s="59" t="str">
        <f t="shared" si="53"/>
        <v/>
      </c>
      <c r="AF83" s="59" t="str">
        <f t="shared" si="53"/>
        <v/>
      </c>
      <c r="AG83" s="59" t="str">
        <f t="shared" si="28"/>
        <v/>
      </c>
      <c r="AH83" s="59" t="str">
        <f t="shared" si="26"/>
        <v/>
      </c>
      <c r="AI83" s="59" t="str">
        <f t="shared" si="26"/>
        <v/>
      </c>
      <c r="AJ83" s="59" t="str">
        <f t="shared" si="26"/>
        <v/>
      </c>
      <c r="AK83" s="59" t="str">
        <f t="shared" ref="AK83:AL140" si="54">+IF(J83=0,"",K83/J83-1)</f>
        <v/>
      </c>
      <c r="AL83" s="59" t="str">
        <f t="shared" si="27"/>
        <v/>
      </c>
      <c r="AM83" s="65">
        <v>0</v>
      </c>
      <c r="AO83" s="58"/>
      <c r="AP83" s="59">
        <f t="shared" si="42"/>
        <v>0</v>
      </c>
      <c r="AQ83" s="59">
        <f t="shared" si="43"/>
        <v>0</v>
      </c>
      <c r="AR83" s="59">
        <f t="shared" si="44"/>
        <v>0</v>
      </c>
      <c r="AS83" s="59">
        <f t="shared" si="45"/>
        <v>0</v>
      </c>
      <c r="AT83" s="59">
        <f t="shared" si="46"/>
        <v>0</v>
      </c>
      <c r="AU83" s="59">
        <f t="shared" si="47"/>
        <v>0</v>
      </c>
      <c r="AV83" s="59">
        <f t="shared" si="48"/>
        <v>0</v>
      </c>
      <c r="AW83" s="59">
        <f t="shared" si="49"/>
        <v>0</v>
      </c>
      <c r="AX83" s="59">
        <f t="shared" si="50"/>
        <v>0</v>
      </c>
      <c r="AY83" s="59">
        <f t="shared" si="51"/>
        <v>0</v>
      </c>
      <c r="AZ83" s="65">
        <f t="shared" si="52"/>
        <v>0</v>
      </c>
    </row>
    <row r="84" spans="1:52" ht="38.25">
      <c r="A84" s="515" t="s">
        <v>171</v>
      </c>
      <c r="B84" s="495">
        <v>299</v>
      </c>
      <c r="C84" s="496">
        <v>299</v>
      </c>
      <c r="D84" s="496"/>
      <c r="E84" s="496"/>
      <c r="F84" s="496"/>
      <c r="G84" s="496"/>
      <c r="H84" s="496"/>
      <c r="I84" s="496">
        <v>395363</v>
      </c>
      <c r="J84" s="496">
        <v>335363</v>
      </c>
      <c r="K84" s="496">
        <v>279511</v>
      </c>
      <c r="L84" s="497">
        <v>309627</v>
      </c>
      <c r="M84" s="463"/>
      <c r="O84" s="58">
        <f t="shared" si="29"/>
        <v>7.4759498194245577E-6</v>
      </c>
      <c r="P84" s="59">
        <f t="shared" si="30"/>
        <v>1.4717688643605017E-5</v>
      </c>
      <c r="Q84" s="59">
        <f t="shared" si="31"/>
        <v>0</v>
      </c>
      <c r="R84" s="59">
        <f t="shared" si="32"/>
        <v>0</v>
      </c>
      <c r="S84" s="59">
        <f t="shared" si="33"/>
        <v>0</v>
      </c>
      <c r="T84" s="59">
        <f t="shared" si="34"/>
        <v>0</v>
      </c>
      <c r="U84" s="59">
        <f t="shared" si="35"/>
        <v>0</v>
      </c>
      <c r="V84" s="59">
        <f t="shared" si="36"/>
        <v>3.1397697494771662E-3</v>
      </c>
      <c r="W84" s="59">
        <f t="shared" si="37"/>
        <v>5.1662363716239489E-3</v>
      </c>
      <c r="X84" s="59">
        <f t="shared" si="38"/>
        <v>2.7507617514142026E-3</v>
      </c>
      <c r="Y84" s="60">
        <f t="shared" si="39"/>
        <v>1.9563368898218338E-3</v>
      </c>
      <c r="Z84" s="60">
        <f t="shared" si="40"/>
        <v>1.1850271273454711E-3</v>
      </c>
      <c r="AB84" s="68"/>
      <c r="AC84" s="59">
        <f t="shared" si="53"/>
        <v>0</v>
      </c>
      <c r="AD84" s="59">
        <f t="shared" si="53"/>
        <v>-1</v>
      </c>
      <c r="AE84" s="59" t="str">
        <f t="shared" si="53"/>
        <v/>
      </c>
      <c r="AF84" s="59" t="str">
        <f t="shared" si="53"/>
        <v/>
      </c>
      <c r="AG84" s="59" t="str">
        <f t="shared" si="28"/>
        <v/>
      </c>
      <c r="AH84" s="59" t="str">
        <f t="shared" si="28"/>
        <v/>
      </c>
      <c r="AI84" s="59" t="str">
        <f t="shared" si="28"/>
        <v/>
      </c>
      <c r="AJ84" s="59">
        <f t="shared" si="28"/>
        <v>-0.15175926932970463</v>
      </c>
      <c r="AK84" s="59">
        <f t="shared" si="54"/>
        <v>-0.16654192621129937</v>
      </c>
      <c r="AL84" s="59">
        <f t="shared" si="54"/>
        <v>0.10774531234906681</v>
      </c>
      <c r="AM84" s="65">
        <f t="shared" si="41"/>
        <v>-0.24211117663838738</v>
      </c>
      <c r="AO84" s="58"/>
      <c r="AP84" s="59">
        <f t="shared" si="42"/>
        <v>-8.045977011494243E-2</v>
      </c>
      <c r="AQ84" s="59">
        <f t="shared" si="43"/>
        <v>-1</v>
      </c>
      <c r="AR84" s="59">
        <f t="shared" si="44"/>
        <v>0</v>
      </c>
      <c r="AS84" s="59">
        <f t="shared" si="45"/>
        <v>0</v>
      </c>
      <c r="AT84" s="59">
        <f t="shared" si="46"/>
        <v>0</v>
      </c>
      <c r="AU84" s="59">
        <f t="shared" si="47"/>
        <v>0</v>
      </c>
      <c r="AV84" s="59">
        <f t="shared" si="48"/>
        <v>0</v>
      </c>
      <c r="AW84" s="59">
        <f t="shared" si="49"/>
        <v>-0.19742574446939598</v>
      </c>
      <c r="AX84" s="59">
        <f t="shared" si="50"/>
        <v>-0.22591429944394847</v>
      </c>
      <c r="AY84" s="59">
        <f t="shared" si="51"/>
        <v>8.6024816028496875E-2</v>
      </c>
      <c r="AZ84" s="65">
        <f t="shared" si="52"/>
        <v>-0.14177749979997897</v>
      </c>
    </row>
    <row r="85" spans="1:52" ht="25.5">
      <c r="A85" s="515" t="s">
        <v>31</v>
      </c>
      <c r="B85" s="495">
        <v>421124</v>
      </c>
      <c r="C85" s="496">
        <v>562801</v>
      </c>
      <c r="D85" s="496">
        <v>462689</v>
      </c>
      <c r="E85" s="496">
        <v>460280</v>
      </c>
      <c r="F85" s="496">
        <v>495530</v>
      </c>
      <c r="G85" s="496">
        <v>152717</v>
      </c>
      <c r="H85" s="496">
        <v>240212</v>
      </c>
      <c r="I85" s="496">
        <v>251091</v>
      </c>
      <c r="J85" s="496">
        <v>378757</v>
      </c>
      <c r="K85" s="496">
        <v>476412</v>
      </c>
      <c r="L85" s="497">
        <v>554446</v>
      </c>
      <c r="M85" s="463"/>
      <c r="O85" s="58">
        <f t="shared" si="29"/>
        <v>1.0529437765068051E-2</v>
      </c>
      <c r="P85" s="59">
        <f t="shared" si="30"/>
        <v>2.7702775539496814E-2</v>
      </c>
      <c r="Q85" s="59">
        <f t="shared" si="31"/>
        <v>4.6097008863648342E-2</v>
      </c>
      <c r="R85" s="59">
        <f t="shared" si="32"/>
        <v>2.9529804521265333E-2</v>
      </c>
      <c r="S85" s="59">
        <f t="shared" si="33"/>
        <v>2.204884116660542E-2</v>
      </c>
      <c r="T85" s="59">
        <f t="shared" si="34"/>
        <v>6.2220649382523701E-3</v>
      </c>
      <c r="U85" s="59">
        <f t="shared" si="35"/>
        <v>5.1212784801452924E-3</v>
      </c>
      <c r="V85" s="59">
        <f t="shared" si="36"/>
        <v>1.9940356739653717E-3</v>
      </c>
      <c r="W85" s="59">
        <f t="shared" si="37"/>
        <v>5.8347169765512949E-3</v>
      </c>
      <c r="X85" s="59">
        <f t="shared" si="38"/>
        <v>4.6885307108297811E-3</v>
      </c>
      <c r="Y85" s="60">
        <f t="shared" si="39"/>
        <v>3.5031930781687527E-3</v>
      </c>
      <c r="Z85" s="60">
        <f t="shared" si="40"/>
        <v>1.4842880701272437E-2</v>
      </c>
      <c r="AB85" s="68"/>
      <c r="AC85" s="59">
        <f t="shared" si="53"/>
        <v>0.33642585081828624</v>
      </c>
      <c r="AD85" s="59">
        <f t="shared" si="53"/>
        <v>-0.17788170241346413</v>
      </c>
      <c r="AE85" s="59">
        <f t="shared" si="53"/>
        <v>-5.2065210108733773E-3</v>
      </c>
      <c r="AF85" s="59">
        <f t="shared" si="53"/>
        <v>7.658381854523344E-2</v>
      </c>
      <c r="AG85" s="59">
        <f t="shared" si="28"/>
        <v>-0.69181078844873167</v>
      </c>
      <c r="AH85" s="59">
        <f t="shared" si="28"/>
        <v>0.57292246442766692</v>
      </c>
      <c r="AI85" s="59">
        <f t="shared" si="28"/>
        <v>4.5289161240903875E-2</v>
      </c>
      <c r="AJ85" s="59">
        <f t="shared" si="28"/>
        <v>0.50844514538553742</v>
      </c>
      <c r="AK85" s="59">
        <f t="shared" si="54"/>
        <v>0.25783021831939745</v>
      </c>
      <c r="AL85" s="59">
        <f t="shared" si="54"/>
        <v>0.16379520247181012</v>
      </c>
      <c r="AM85" s="65">
        <f t="shared" si="41"/>
        <v>0.10863928493357662</v>
      </c>
      <c r="AO85" s="58"/>
      <c r="AP85" s="59">
        <f t="shared" si="42"/>
        <v>0.2288973340857805</v>
      </c>
      <c r="AQ85" s="59">
        <f t="shared" si="43"/>
        <v>-0.23630441468970198</v>
      </c>
      <c r="AR85" s="59">
        <f t="shared" si="44"/>
        <v>-7.0199570998105809E-2</v>
      </c>
      <c r="AS85" s="59">
        <f t="shared" si="45"/>
        <v>1.0971751850158196E-2</v>
      </c>
      <c r="AT85" s="59">
        <f t="shared" si="46"/>
        <v>-0.70787066482194783</v>
      </c>
      <c r="AU85" s="59">
        <f t="shared" si="47"/>
        <v>0.5001276010619482</v>
      </c>
      <c r="AV85" s="59">
        <f t="shared" si="48"/>
        <v>4.6818648631696824E-4</v>
      </c>
      <c r="AW85" s="59">
        <f t="shared" si="49"/>
        <v>0.42723544837310756</v>
      </c>
      <c r="AX85" s="59">
        <f t="shared" si="50"/>
        <v>0.16822719264363095</v>
      </c>
      <c r="AY85" s="59">
        <f t="shared" si="51"/>
        <v>0.14097568869785304</v>
      </c>
      <c r="AZ85" s="65">
        <f t="shared" si="52"/>
        <v>4.6252855268903978E-2</v>
      </c>
    </row>
    <row r="86" spans="1:52" ht="38.25">
      <c r="A86" s="515" t="s">
        <v>32</v>
      </c>
      <c r="B86" s="495">
        <v>633192</v>
      </c>
      <c r="C86" s="496">
        <v>690537</v>
      </c>
      <c r="D86" s="496">
        <v>700915</v>
      </c>
      <c r="E86" s="496">
        <v>635500</v>
      </c>
      <c r="F86" s="496">
        <v>741933</v>
      </c>
      <c r="G86" s="496">
        <v>135837</v>
      </c>
      <c r="H86" s="496">
        <v>90697</v>
      </c>
      <c r="I86" s="496">
        <v>140883</v>
      </c>
      <c r="J86" s="496">
        <v>78605</v>
      </c>
      <c r="K86" s="496">
        <v>70645</v>
      </c>
      <c r="L86" s="497">
        <v>343762</v>
      </c>
      <c r="M86" s="463"/>
      <c r="O86" s="58">
        <f t="shared" si="29"/>
        <v>1.583181143164239E-2</v>
      </c>
      <c r="P86" s="59">
        <f t="shared" si="30"/>
        <v>3.3990329641769491E-2</v>
      </c>
      <c r="Q86" s="59">
        <f t="shared" si="31"/>
        <v>6.9831106785906039E-2</v>
      </c>
      <c r="R86" s="59">
        <f t="shared" si="32"/>
        <v>4.0771249616025289E-2</v>
      </c>
      <c r="S86" s="59">
        <f t="shared" si="33"/>
        <v>3.30126589172463E-2</v>
      </c>
      <c r="T86" s="59">
        <f t="shared" si="34"/>
        <v>5.5343323599690098E-3</v>
      </c>
      <c r="U86" s="59">
        <f t="shared" si="35"/>
        <v>1.9336444237329424E-3</v>
      </c>
      <c r="V86" s="59">
        <f t="shared" si="36"/>
        <v>1.1188203792858503E-3</v>
      </c>
      <c r="W86" s="59">
        <f t="shared" si="37"/>
        <v>1.2109028425661163E-3</v>
      </c>
      <c r="X86" s="59">
        <f t="shared" si="38"/>
        <v>6.9524120313209977E-4</v>
      </c>
      <c r="Y86" s="60">
        <f t="shared" si="39"/>
        <v>2.1720143331134985E-3</v>
      </c>
      <c r="Z86" s="60">
        <f t="shared" si="40"/>
        <v>1.8736555630399002E-2</v>
      </c>
      <c r="AB86" s="68"/>
      <c r="AC86" s="59">
        <f t="shared" si="53"/>
        <v>9.0564947125042705E-2</v>
      </c>
      <c r="AD86" s="59">
        <f t="shared" si="53"/>
        <v>1.5028883318344954E-2</v>
      </c>
      <c r="AE86" s="59">
        <f t="shared" si="53"/>
        <v>-9.3328006962327792E-2</v>
      </c>
      <c r="AF86" s="59">
        <f t="shared" si="53"/>
        <v>0.16747915027537363</v>
      </c>
      <c r="AG86" s="59">
        <f t="shared" si="28"/>
        <v>-0.81691473488846023</v>
      </c>
      <c r="AH86" s="59">
        <f t="shared" si="28"/>
        <v>-0.33231004807232201</v>
      </c>
      <c r="AI86" s="59">
        <f t="shared" si="28"/>
        <v>0.5533369350695172</v>
      </c>
      <c r="AJ86" s="59">
        <f t="shared" si="28"/>
        <v>-0.44205475465457156</v>
      </c>
      <c r="AK86" s="59">
        <f t="shared" si="54"/>
        <v>-0.10126582278481011</v>
      </c>
      <c r="AL86" s="59">
        <f t="shared" si="54"/>
        <v>3.8660485526222663</v>
      </c>
      <c r="AM86" s="65">
        <f t="shared" si="41"/>
        <v>0.29065851010480531</v>
      </c>
      <c r="AO86" s="58"/>
      <c r="AP86" s="59">
        <f t="shared" si="42"/>
        <v>2.8183421839473866E-3</v>
      </c>
      <c r="AQ86" s="59">
        <f t="shared" si="43"/>
        <v>-5.7102755858481236E-2</v>
      </c>
      <c r="AR86" s="59">
        <f t="shared" si="44"/>
        <v>-0.15256379751596205</v>
      </c>
      <c r="AS86" s="59">
        <f t="shared" si="45"/>
        <v>9.6327495798078422E-2</v>
      </c>
      <c r="AT86" s="59">
        <f t="shared" si="46"/>
        <v>-0.82645538917888373</v>
      </c>
      <c r="AU86" s="59">
        <f t="shared" si="47"/>
        <v>-0.3632107440191652</v>
      </c>
      <c r="AV86" s="59">
        <f t="shared" si="48"/>
        <v>0.48673136970665887</v>
      </c>
      <c r="AW86" s="59">
        <f t="shared" si="49"/>
        <v>-0.47209268109998248</v>
      </c>
      <c r="AX86" s="59">
        <f t="shared" si="50"/>
        <v>-0.16528821657361392</v>
      </c>
      <c r="AY86" s="59">
        <f t="shared" si="51"/>
        <v>3.7706358359041827</v>
      </c>
      <c r="AZ86" s="65">
        <f t="shared" si="52"/>
        <v>0.23197994593467786</v>
      </c>
    </row>
    <row r="87" spans="1:52" ht="51">
      <c r="A87" s="515" t="s">
        <v>33</v>
      </c>
      <c r="B87" s="495">
        <v>146468</v>
      </c>
      <c r="C87" s="496">
        <v>159416</v>
      </c>
      <c r="D87" s="496">
        <v>157163</v>
      </c>
      <c r="E87" s="496">
        <v>158132</v>
      </c>
      <c r="F87" s="496">
        <v>3756</v>
      </c>
      <c r="G87" s="496">
        <v>6499</v>
      </c>
      <c r="H87" s="496">
        <v>3099</v>
      </c>
      <c r="I87" s="496">
        <v>3613</v>
      </c>
      <c r="J87" s="496">
        <v>7913</v>
      </c>
      <c r="K87" s="496">
        <v>2910</v>
      </c>
      <c r="L87" s="497">
        <v>29489</v>
      </c>
      <c r="M87" s="463"/>
      <c r="O87" s="58">
        <f t="shared" si="29"/>
        <v>3.6621652780985826E-3</v>
      </c>
      <c r="P87" s="59">
        <f t="shared" si="30"/>
        <v>7.8469399759496239E-3</v>
      </c>
      <c r="Q87" s="59">
        <f t="shared" si="31"/>
        <v>1.5657913207440775E-2</v>
      </c>
      <c r="R87" s="59">
        <f t="shared" si="32"/>
        <v>1.0145144365509538E-2</v>
      </c>
      <c r="S87" s="59">
        <f t="shared" si="33"/>
        <v>1.6712499227447371E-4</v>
      </c>
      <c r="T87" s="59">
        <f t="shared" si="34"/>
        <v>2.6478519112935791E-4</v>
      </c>
      <c r="U87" s="59">
        <f t="shared" si="35"/>
        <v>6.6070146412211967E-5</v>
      </c>
      <c r="V87" s="59">
        <f t="shared" si="36"/>
        <v>2.8692589101309434E-5</v>
      </c>
      <c r="W87" s="59">
        <f t="shared" si="37"/>
        <v>1.2189904195948959E-4</v>
      </c>
      <c r="X87" s="59">
        <f t="shared" si="38"/>
        <v>2.8638288642004533E-5</v>
      </c>
      <c r="Y87" s="60">
        <f t="shared" si="39"/>
        <v>1.8632231214963827E-4</v>
      </c>
      <c r="Z87" s="60">
        <f t="shared" si="40"/>
        <v>3.4705177626060905E-3</v>
      </c>
      <c r="AB87" s="68"/>
      <c r="AC87" s="59">
        <f t="shared" si="53"/>
        <v>8.8401562115957066E-2</v>
      </c>
      <c r="AD87" s="59">
        <f t="shared" si="53"/>
        <v>-1.4132834847192299E-2</v>
      </c>
      <c r="AE87" s="59">
        <f t="shared" si="53"/>
        <v>6.16557332196499E-3</v>
      </c>
      <c r="AF87" s="59">
        <f t="shared" si="53"/>
        <v>-0.97624769180178583</v>
      </c>
      <c r="AG87" s="59">
        <f t="shared" si="28"/>
        <v>0.73029818956336534</v>
      </c>
      <c r="AH87" s="59">
        <f t="shared" si="28"/>
        <v>-0.52315740883212802</v>
      </c>
      <c r="AI87" s="59">
        <f t="shared" si="28"/>
        <v>0.16585995482413685</v>
      </c>
      <c r="AJ87" s="59">
        <f t="shared" si="28"/>
        <v>1.190146692499308</v>
      </c>
      <c r="AK87" s="59">
        <f t="shared" si="54"/>
        <v>-0.63225072665234427</v>
      </c>
      <c r="AL87" s="59">
        <f t="shared" si="54"/>
        <v>9.1336769759450167</v>
      </c>
      <c r="AM87" s="65">
        <f t="shared" si="41"/>
        <v>0.91687602861362993</v>
      </c>
      <c r="AO87" s="58"/>
      <c r="AP87" s="59">
        <f t="shared" si="42"/>
        <v>8.2902263536288601E-4</v>
      </c>
      <c r="AQ87" s="59">
        <f t="shared" si="43"/>
        <v>-8.4192136411697427E-2</v>
      </c>
      <c r="AR87" s="59">
        <f t="shared" si="44"/>
        <v>-5.9570452077797098E-2</v>
      </c>
      <c r="AS87" s="59">
        <f t="shared" si="45"/>
        <v>-0.97769526885321234</v>
      </c>
      <c r="AT87" s="59">
        <f t="shared" si="46"/>
        <v>0.64013158420649785</v>
      </c>
      <c r="AU87" s="59">
        <f t="shared" si="47"/>
        <v>-0.54522568750195477</v>
      </c>
      <c r="AV87" s="59">
        <f t="shared" si="48"/>
        <v>0.11586902261115717</v>
      </c>
      <c r="AW87" s="59">
        <f t="shared" si="49"/>
        <v>1.0722364391137367</v>
      </c>
      <c r="AX87" s="59">
        <f t="shared" si="50"/>
        <v>-0.65844778178911878</v>
      </c>
      <c r="AY87" s="59">
        <f t="shared" si="51"/>
        <v>8.9349774273970759</v>
      </c>
      <c r="AZ87" s="65">
        <f t="shared" si="52"/>
        <v>0.84389121693300506</v>
      </c>
    </row>
    <row r="88" spans="1:52" ht="51">
      <c r="A88" s="515" t="s">
        <v>34</v>
      </c>
      <c r="B88" s="495">
        <v>87864</v>
      </c>
      <c r="C88" s="496">
        <v>175462</v>
      </c>
      <c r="D88" s="496">
        <v>138365</v>
      </c>
      <c r="E88" s="496">
        <v>159449</v>
      </c>
      <c r="F88" s="496">
        <v>186828</v>
      </c>
      <c r="G88" s="496">
        <v>254887</v>
      </c>
      <c r="H88" s="496">
        <v>285340</v>
      </c>
      <c r="I88" s="496">
        <v>331773</v>
      </c>
      <c r="J88" s="496">
        <v>243611</v>
      </c>
      <c r="K88" s="496">
        <v>278552</v>
      </c>
      <c r="L88" s="497">
        <v>490141</v>
      </c>
      <c r="M88" s="463"/>
      <c r="O88" s="58">
        <f t="shared" si="29"/>
        <v>2.1968791134913692E-3</v>
      </c>
      <c r="P88" s="59">
        <f t="shared" si="30"/>
        <v>8.6367728588101125E-3</v>
      </c>
      <c r="Q88" s="59">
        <f t="shared" si="31"/>
        <v>1.3785096752718787E-2</v>
      </c>
      <c r="R88" s="59">
        <f t="shared" si="32"/>
        <v>1.0229638048820797E-2</v>
      </c>
      <c r="S88" s="59">
        <f t="shared" si="33"/>
        <v>8.3130000150839645E-3</v>
      </c>
      <c r="T88" s="59">
        <f t="shared" si="34"/>
        <v>1.0384721189627428E-2</v>
      </c>
      <c r="U88" s="59">
        <f t="shared" si="35"/>
        <v>6.0833996699775931E-3</v>
      </c>
      <c r="V88" s="59">
        <f t="shared" si="36"/>
        <v>2.6347706515108594E-3</v>
      </c>
      <c r="W88" s="59">
        <f t="shared" si="37"/>
        <v>3.7528051953485677E-3</v>
      </c>
      <c r="X88" s="59">
        <f t="shared" si="38"/>
        <v>2.741323909899535E-3</v>
      </c>
      <c r="Y88" s="60">
        <f t="shared" si="39"/>
        <v>3.0968905150848066E-3</v>
      </c>
      <c r="Z88" s="60">
        <f t="shared" si="40"/>
        <v>6.5322998109430741E-3</v>
      </c>
      <c r="AB88" s="68"/>
      <c r="AC88" s="59">
        <f t="shared" si="53"/>
        <v>0.99697259400892291</v>
      </c>
      <c r="AD88" s="59">
        <f t="shared" si="53"/>
        <v>-0.2114246959455609</v>
      </c>
      <c r="AE88" s="59">
        <f t="shared" si="53"/>
        <v>0.15237957575976591</v>
      </c>
      <c r="AF88" s="59">
        <f t="shared" si="53"/>
        <v>0.1717100765762094</v>
      </c>
      <c r="AG88" s="59">
        <f t="shared" si="28"/>
        <v>0.36428693771811504</v>
      </c>
      <c r="AH88" s="59">
        <f t="shared" si="28"/>
        <v>0.11947647388842908</v>
      </c>
      <c r="AI88" s="59">
        <f t="shared" si="28"/>
        <v>0.16272867456367845</v>
      </c>
      <c r="AJ88" s="59">
        <f t="shared" si="28"/>
        <v>-0.26572988157565569</v>
      </c>
      <c r="AK88" s="59">
        <f t="shared" si="54"/>
        <v>0.14342948389030052</v>
      </c>
      <c r="AL88" s="59">
        <f t="shared" si="54"/>
        <v>0.75960323386656703</v>
      </c>
      <c r="AM88" s="65">
        <f t="shared" si="41"/>
        <v>0.23934324727507716</v>
      </c>
      <c r="AO88" s="58"/>
      <c r="AP88" s="59">
        <f t="shared" si="42"/>
        <v>0.83629663816912458</v>
      </c>
      <c r="AQ88" s="59">
        <f t="shared" si="43"/>
        <v>-0.26746372126851914</v>
      </c>
      <c r="AR88" s="59">
        <f t="shared" si="44"/>
        <v>7.709092042225052E-2</v>
      </c>
      <c r="AS88" s="59">
        <f t="shared" si="45"/>
        <v>0.10030056960861056</v>
      </c>
      <c r="AT88" s="59">
        <f t="shared" si="46"/>
        <v>0.29319334087524918</v>
      </c>
      <c r="AU88" s="59">
        <f t="shared" si="47"/>
        <v>6.7667094341232525E-2</v>
      </c>
      <c r="AV88" s="59">
        <f t="shared" si="48"/>
        <v>0.11287200857932467</v>
      </c>
      <c r="AW88" s="59">
        <f t="shared" si="49"/>
        <v>-0.30526055594252588</v>
      </c>
      <c r="AX88" s="59">
        <f t="shared" si="50"/>
        <v>6.1975930055076178E-2</v>
      </c>
      <c r="AY88" s="59">
        <f t="shared" si="51"/>
        <v>0.72510120967310487</v>
      </c>
      <c r="AZ88" s="65">
        <f t="shared" si="52"/>
        <v>0.17017734345129282</v>
      </c>
    </row>
    <row r="89" spans="1:52" ht="25.5">
      <c r="A89" s="515" t="s">
        <v>172</v>
      </c>
      <c r="B89" s="495"/>
      <c r="C89" s="496"/>
      <c r="D89" s="496"/>
      <c r="E89" s="496"/>
      <c r="F89" s="496"/>
      <c r="G89" s="496"/>
      <c r="H89" s="496"/>
      <c r="I89" s="496"/>
      <c r="J89" s="496"/>
      <c r="K89" s="496">
        <v>8322</v>
      </c>
      <c r="L89" s="497"/>
      <c r="M89" s="463"/>
      <c r="O89" s="58">
        <f t="shared" si="29"/>
        <v>0</v>
      </c>
      <c r="P89" s="59">
        <f t="shared" si="30"/>
        <v>0</v>
      </c>
      <c r="Q89" s="59">
        <f t="shared" si="31"/>
        <v>0</v>
      </c>
      <c r="R89" s="59">
        <f t="shared" si="32"/>
        <v>0</v>
      </c>
      <c r="S89" s="59">
        <f t="shared" si="33"/>
        <v>0</v>
      </c>
      <c r="T89" s="59">
        <f t="shared" si="34"/>
        <v>0</v>
      </c>
      <c r="U89" s="59">
        <f t="shared" si="35"/>
        <v>0</v>
      </c>
      <c r="V89" s="59">
        <f t="shared" si="36"/>
        <v>0</v>
      </c>
      <c r="W89" s="59">
        <f t="shared" si="37"/>
        <v>0</v>
      </c>
      <c r="X89" s="59">
        <f t="shared" si="38"/>
        <v>8.1899600714351116E-5</v>
      </c>
      <c r="Y89" s="60">
        <f t="shared" si="39"/>
        <v>0</v>
      </c>
      <c r="Z89" s="60">
        <f t="shared" si="40"/>
        <v>7.4454182467591925E-6</v>
      </c>
      <c r="AB89" s="68"/>
      <c r="AC89" s="59" t="str">
        <f t="shared" si="53"/>
        <v/>
      </c>
      <c r="AD89" s="59" t="str">
        <f t="shared" si="53"/>
        <v/>
      </c>
      <c r="AE89" s="59" t="str">
        <f t="shared" si="53"/>
        <v/>
      </c>
      <c r="AF89" s="59" t="str">
        <f t="shared" si="53"/>
        <v/>
      </c>
      <c r="AG89" s="59" t="str">
        <f t="shared" si="28"/>
        <v/>
      </c>
      <c r="AH89" s="59" t="str">
        <f t="shared" si="28"/>
        <v/>
      </c>
      <c r="AI89" s="59" t="str">
        <f t="shared" si="28"/>
        <v/>
      </c>
      <c r="AJ89" s="59" t="str">
        <f t="shared" si="28"/>
        <v/>
      </c>
      <c r="AK89" s="59" t="str">
        <f t="shared" si="54"/>
        <v/>
      </c>
      <c r="AL89" s="59">
        <f t="shared" si="54"/>
        <v>-1</v>
      </c>
      <c r="AM89" s="65">
        <f t="shared" si="41"/>
        <v>-1</v>
      </c>
      <c r="AO89" s="58"/>
      <c r="AP89" s="59">
        <f t="shared" si="42"/>
        <v>0</v>
      </c>
      <c r="AQ89" s="59">
        <f t="shared" si="43"/>
        <v>0</v>
      </c>
      <c r="AR89" s="59">
        <f t="shared" si="44"/>
        <v>0</v>
      </c>
      <c r="AS89" s="59">
        <f t="shared" si="45"/>
        <v>0</v>
      </c>
      <c r="AT89" s="59">
        <f t="shared" si="46"/>
        <v>0</v>
      </c>
      <c r="AU89" s="59">
        <f t="shared" si="47"/>
        <v>0</v>
      </c>
      <c r="AV89" s="59">
        <f t="shared" si="48"/>
        <v>0</v>
      </c>
      <c r="AW89" s="59">
        <f t="shared" si="49"/>
        <v>0</v>
      </c>
      <c r="AX89" s="59">
        <f t="shared" si="50"/>
        <v>0</v>
      </c>
      <c r="AY89" s="59">
        <f t="shared" si="51"/>
        <v>-1</v>
      </c>
      <c r="AZ89" s="65">
        <f t="shared" si="52"/>
        <v>-0.1</v>
      </c>
    </row>
    <row r="90" spans="1:52" ht="38.25">
      <c r="A90" s="515" t="s">
        <v>35</v>
      </c>
      <c r="B90" s="495">
        <v>2241340</v>
      </c>
      <c r="C90" s="496">
        <v>259765</v>
      </c>
      <c r="D90" s="496">
        <v>82665</v>
      </c>
      <c r="E90" s="496">
        <v>87785</v>
      </c>
      <c r="F90" s="496">
        <v>113081</v>
      </c>
      <c r="G90" s="496">
        <v>403122</v>
      </c>
      <c r="H90" s="496">
        <v>633577</v>
      </c>
      <c r="I90" s="496">
        <v>431129</v>
      </c>
      <c r="J90" s="496">
        <v>1004847</v>
      </c>
      <c r="K90" s="496">
        <v>1017332</v>
      </c>
      <c r="L90" s="497">
        <v>963944</v>
      </c>
      <c r="M90" s="463"/>
      <c r="O90" s="58">
        <f t="shared" si="29"/>
        <v>5.6040619960766015E-2</v>
      </c>
      <c r="P90" s="59">
        <f t="shared" si="30"/>
        <v>1.2786422710722599E-2</v>
      </c>
      <c r="Q90" s="59">
        <f t="shared" si="31"/>
        <v>8.2357895642937058E-3</v>
      </c>
      <c r="R90" s="59">
        <f t="shared" si="32"/>
        <v>5.6319498781160979E-3</v>
      </c>
      <c r="S90" s="59">
        <f t="shared" si="33"/>
        <v>5.0315924524466883E-3</v>
      </c>
      <c r="T90" s="59">
        <f t="shared" si="34"/>
        <v>1.6424178461063092E-2</v>
      </c>
      <c r="U90" s="59">
        <f t="shared" si="35"/>
        <v>1.3507752550309783E-2</v>
      </c>
      <c r="V90" s="59">
        <f t="shared" si="36"/>
        <v>3.4238049395677928E-3</v>
      </c>
      <c r="W90" s="59">
        <f t="shared" si="37"/>
        <v>1.5479576218358049E-2</v>
      </c>
      <c r="X90" s="59">
        <f t="shared" si="38"/>
        <v>1.0011906343899573E-2</v>
      </c>
      <c r="Y90" s="60">
        <f t="shared" si="39"/>
        <v>6.0905515569456723E-3</v>
      </c>
      <c r="Z90" s="60">
        <f t="shared" si="40"/>
        <v>1.3878558603317187E-2</v>
      </c>
      <c r="AB90" s="68"/>
      <c r="AC90" s="59">
        <f t="shared" si="53"/>
        <v>-0.88410281349549824</v>
      </c>
      <c r="AD90" s="59">
        <f t="shared" si="53"/>
        <v>-0.68177006140165153</v>
      </c>
      <c r="AE90" s="59">
        <f t="shared" si="53"/>
        <v>6.1936732595415211E-2</v>
      </c>
      <c r="AF90" s="59">
        <f t="shared" si="53"/>
        <v>0.28815856923164551</v>
      </c>
      <c r="AG90" s="59">
        <f t="shared" si="28"/>
        <v>2.5648959595334317</v>
      </c>
      <c r="AH90" s="59">
        <f t="shared" si="28"/>
        <v>0.57167557215929676</v>
      </c>
      <c r="AI90" s="59">
        <f t="shared" si="28"/>
        <v>-0.3195318011859648</v>
      </c>
      <c r="AJ90" s="59">
        <f t="shared" si="28"/>
        <v>1.3307339566579839</v>
      </c>
      <c r="AK90" s="59">
        <f t="shared" si="54"/>
        <v>1.2424777105370266E-2</v>
      </c>
      <c r="AL90" s="59">
        <f t="shared" si="54"/>
        <v>-5.2478443615260328E-2</v>
      </c>
      <c r="AM90" s="65">
        <f t="shared" si="41"/>
        <v>0.28919424475847683</v>
      </c>
      <c r="AO90" s="58"/>
      <c r="AP90" s="59">
        <f t="shared" si="42"/>
        <v>-0.89342787447861904</v>
      </c>
      <c r="AQ90" s="59">
        <f t="shared" si="43"/>
        <v>-0.70438463669452067</v>
      </c>
      <c r="AR90" s="59">
        <f t="shared" si="44"/>
        <v>-7.4430015932188676E-3</v>
      </c>
      <c r="AS90" s="59">
        <f t="shared" si="45"/>
        <v>0.20965214501985696</v>
      </c>
      <c r="AT90" s="59">
        <f t="shared" si="46"/>
        <v>2.3791276514693429</v>
      </c>
      <c r="AU90" s="59">
        <f t="shared" si="47"/>
        <v>0.49893841497704261</v>
      </c>
      <c r="AV90" s="59">
        <f t="shared" si="48"/>
        <v>-0.34870961062975192</v>
      </c>
      <c r="AW90" s="59">
        <f t="shared" si="49"/>
        <v>1.2052549500028236</v>
      </c>
      <c r="AX90" s="59">
        <f t="shared" si="50"/>
        <v>-5.9696501248843403E-2</v>
      </c>
      <c r="AY90" s="59">
        <f t="shared" si="51"/>
        <v>-7.1057297662019958E-2</v>
      </c>
      <c r="AZ90" s="65">
        <f t="shared" si="52"/>
        <v>0.22082542391620921</v>
      </c>
    </row>
    <row r="91" spans="1:52" ht="51">
      <c r="A91" s="515" t="s">
        <v>36</v>
      </c>
      <c r="B91" s="495">
        <v>7270322</v>
      </c>
      <c r="C91" s="496">
        <v>3038245</v>
      </c>
      <c r="D91" s="496">
        <v>2593744</v>
      </c>
      <c r="E91" s="496">
        <v>2495728</v>
      </c>
      <c r="F91" s="496">
        <v>3141556</v>
      </c>
      <c r="G91" s="496">
        <v>3135600</v>
      </c>
      <c r="H91" s="496">
        <v>4924547</v>
      </c>
      <c r="I91" s="496">
        <v>6380062</v>
      </c>
      <c r="J91" s="496">
        <v>6284078</v>
      </c>
      <c r="K91" s="496">
        <v>8633596</v>
      </c>
      <c r="L91" s="497">
        <v>15126746</v>
      </c>
      <c r="M91" s="463"/>
      <c r="O91" s="58">
        <f t="shared" si="29"/>
        <v>0.18178114529450967</v>
      </c>
      <c r="P91" s="59">
        <f t="shared" si="30"/>
        <v>0.14955165194979841</v>
      </c>
      <c r="Q91" s="59">
        <f t="shared" si="31"/>
        <v>0.25841081192341875</v>
      </c>
      <c r="R91" s="59">
        <f t="shared" si="32"/>
        <v>0.16011636390511969</v>
      </c>
      <c r="S91" s="59">
        <f t="shared" si="33"/>
        <v>0.13978501656811143</v>
      </c>
      <c r="T91" s="59">
        <f t="shared" si="34"/>
        <v>0.12775203035931909</v>
      </c>
      <c r="U91" s="59">
        <f t="shared" si="35"/>
        <v>0.10499049412837018</v>
      </c>
      <c r="V91" s="59">
        <f t="shared" si="36"/>
        <v>5.0667173375831293E-2</v>
      </c>
      <c r="W91" s="59">
        <f t="shared" si="37"/>
        <v>9.6805647390206681E-2</v>
      </c>
      <c r="X91" s="59">
        <f t="shared" si="38"/>
        <v>8.4966121741050088E-2</v>
      </c>
      <c r="Y91" s="60">
        <f t="shared" si="39"/>
        <v>9.5576326427491351E-2</v>
      </c>
      <c r="Z91" s="60">
        <f t="shared" si="40"/>
        <v>0.13185479846029333</v>
      </c>
      <c r="AB91" s="68"/>
      <c r="AC91" s="59">
        <f t="shared" si="53"/>
        <v>-0.58210310354892125</v>
      </c>
      <c r="AD91" s="59">
        <f t="shared" si="53"/>
        <v>-0.14630189467932964</v>
      </c>
      <c r="AE91" s="59">
        <f t="shared" si="53"/>
        <v>-3.7789388621236375E-2</v>
      </c>
      <c r="AF91" s="59">
        <f t="shared" si="53"/>
        <v>0.25877339197220217</v>
      </c>
      <c r="AG91" s="59">
        <f t="shared" si="28"/>
        <v>-1.8958758016728305E-3</v>
      </c>
      <c r="AH91" s="59">
        <f t="shared" si="28"/>
        <v>0.57052780966960071</v>
      </c>
      <c r="AI91" s="59">
        <f t="shared" si="28"/>
        <v>0.29556322642468436</v>
      </c>
      <c r="AJ91" s="59">
        <f t="shared" si="28"/>
        <v>-1.5044367907396494E-2</v>
      </c>
      <c r="AK91" s="59">
        <f t="shared" si="54"/>
        <v>0.37388428342232549</v>
      </c>
      <c r="AL91" s="59">
        <f t="shared" si="54"/>
        <v>0.75207943480329642</v>
      </c>
      <c r="AM91" s="65">
        <f t="shared" si="41"/>
        <v>0.14676935157335524</v>
      </c>
      <c r="AO91" s="58"/>
      <c r="AP91" s="59">
        <f t="shared" si="42"/>
        <v>-0.61572699176912293</v>
      </c>
      <c r="AQ91" s="59">
        <f t="shared" si="43"/>
        <v>-0.2069687827954757</v>
      </c>
      <c r="AR91" s="59">
        <f t="shared" si="44"/>
        <v>-0.10065369531847501</v>
      </c>
      <c r="AS91" s="59">
        <f t="shared" si="45"/>
        <v>0.1820578382685718</v>
      </c>
      <c r="AT91" s="59">
        <f t="shared" si="46"/>
        <v>-5.3907523975657567E-2</v>
      </c>
      <c r="AU91" s="59">
        <f t="shared" si="47"/>
        <v>0.49784377094391608</v>
      </c>
      <c r="AV91" s="59">
        <f t="shared" si="48"/>
        <v>0.24001074504659692</v>
      </c>
      <c r="AW91" s="59">
        <f t="shared" si="49"/>
        <v>-6.8071121115901634E-2</v>
      </c>
      <c r="AX91" s="59">
        <f t="shared" si="50"/>
        <v>0.27601400893686767</v>
      </c>
      <c r="AY91" s="59">
        <f t="shared" si="51"/>
        <v>0.7177249360816631</v>
      </c>
      <c r="AZ91" s="65">
        <f t="shared" si="52"/>
        <v>8.6832318430298275E-2</v>
      </c>
    </row>
    <row r="92" spans="1:52" ht="38.25">
      <c r="A92" s="515" t="s">
        <v>37</v>
      </c>
      <c r="B92" s="495">
        <v>1489445</v>
      </c>
      <c r="C92" s="496">
        <v>1322993</v>
      </c>
      <c r="D92" s="496">
        <v>1180823</v>
      </c>
      <c r="E92" s="496">
        <v>1647794</v>
      </c>
      <c r="F92" s="496">
        <v>2059690</v>
      </c>
      <c r="G92" s="496">
        <v>2977364</v>
      </c>
      <c r="H92" s="496">
        <v>3478084</v>
      </c>
      <c r="I92" s="496">
        <v>2359343</v>
      </c>
      <c r="J92" s="496">
        <v>1968811</v>
      </c>
      <c r="K92" s="496">
        <v>2175243</v>
      </c>
      <c r="L92" s="497">
        <v>4129641</v>
      </c>
      <c r="M92" s="463"/>
      <c r="O92" s="58">
        <f t="shared" si="29"/>
        <v>3.7240856450812078E-2</v>
      </c>
      <c r="P92" s="59">
        <f t="shared" si="30"/>
        <v>6.5121735958758975E-2</v>
      </c>
      <c r="Q92" s="59">
        <f t="shared" si="31"/>
        <v>0.11764361871019156</v>
      </c>
      <c r="R92" s="59">
        <f t="shared" si="32"/>
        <v>0.10571616127425457</v>
      </c>
      <c r="S92" s="59">
        <f t="shared" si="33"/>
        <v>9.1646878417947483E-2</v>
      </c>
      <c r="T92" s="59">
        <f t="shared" si="34"/>
        <v>0.12130510783223106</v>
      </c>
      <c r="U92" s="59">
        <f t="shared" si="35"/>
        <v>7.4152152021288109E-2</v>
      </c>
      <c r="V92" s="59">
        <f t="shared" si="36"/>
        <v>1.8736689523401802E-2</v>
      </c>
      <c r="W92" s="59">
        <f t="shared" si="37"/>
        <v>3.0329353557349257E-2</v>
      </c>
      <c r="X92" s="59">
        <f t="shared" si="38"/>
        <v>2.1407297903951846E-2</v>
      </c>
      <c r="Y92" s="60">
        <f t="shared" si="39"/>
        <v>2.6092585691883222E-2</v>
      </c>
      <c r="Z92" s="60">
        <f t="shared" si="40"/>
        <v>6.4490221576551807E-2</v>
      </c>
      <c r="AB92" s="68"/>
      <c r="AC92" s="59">
        <f t="shared" si="53"/>
        <v>-0.11175437830869883</v>
      </c>
      <c r="AD92" s="59">
        <f t="shared" si="53"/>
        <v>-0.107460886036434</v>
      </c>
      <c r="AE92" s="59">
        <f t="shared" si="53"/>
        <v>0.39546231738372306</v>
      </c>
      <c r="AF92" s="59">
        <f t="shared" si="53"/>
        <v>0.24996813922128625</v>
      </c>
      <c r="AG92" s="59">
        <f t="shared" si="28"/>
        <v>0.44553986279488655</v>
      </c>
      <c r="AH92" s="59">
        <f t="shared" si="28"/>
        <v>0.16817560768518725</v>
      </c>
      <c r="AI92" s="59">
        <f t="shared" si="28"/>
        <v>-0.32165439362591586</v>
      </c>
      <c r="AJ92" s="59">
        <f t="shared" si="28"/>
        <v>-0.16552574170012579</v>
      </c>
      <c r="AK92" s="59">
        <f t="shared" si="54"/>
        <v>0.10485110048653734</v>
      </c>
      <c r="AL92" s="59">
        <f t="shared" si="54"/>
        <v>0.8984734119360458</v>
      </c>
      <c r="AM92" s="65">
        <f t="shared" si="41"/>
        <v>0.15560750398364917</v>
      </c>
      <c r="AO92" s="58"/>
      <c r="AP92" s="59">
        <f t="shared" si="42"/>
        <v>-0.18322241683558504</v>
      </c>
      <c r="AQ92" s="59">
        <f t="shared" si="43"/>
        <v>-0.17088795730277195</v>
      </c>
      <c r="AR92" s="59">
        <f t="shared" si="44"/>
        <v>0.30429228655362461</v>
      </c>
      <c r="AS92" s="59">
        <f t="shared" si="45"/>
        <v>0.17378921891378196</v>
      </c>
      <c r="AT92" s="59">
        <f t="shared" si="46"/>
        <v>0.37021214002293035</v>
      </c>
      <c r="AU92" s="59">
        <f t="shared" si="47"/>
        <v>0.11411243186326225</v>
      </c>
      <c r="AV92" s="59">
        <f t="shared" si="48"/>
        <v>-0.35074118838621349</v>
      </c>
      <c r="AW92" s="59">
        <f t="shared" si="49"/>
        <v>-0.21045107550395092</v>
      </c>
      <c r="AX92" s="59">
        <f t="shared" si="50"/>
        <v>2.614572349450861E-2</v>
      </c>
      <c r="AY92" s="59">
        <f t="shared" si="51"/>
        <v>0.86124844307455461</v>
      </c>
      <c r="AZ92" s="65">
        <f t="shared" si="52"/>
        <v>9.3449760589414094E-2</v>
      </c>
    </row>
    <row r="93" spans="1:52" ht="51">
      <c r="A93" s="515" t="s">
        <v>38</v>
      </c>
      <c r="B93" s="495">
        <v>469603</v>
      </c>
      <c r="C93" s="496">
        <v>351881</v>
      </c>
      <c r="D93" s="496">
        <v>147840</v>
      </c>
      <c r="E93" s="496">
        <v>288136</v>
      </c>
      <c r="F93" s="496">
        <v>233888</v>
      </c>
      <c r="G93" s="496">
        <v>436386</v>
      </c>
      <c r="H93" s="496">
        <v>742539</v>
      </c>
      <c r="I93" s="496">
        <v>1256404</v>
      </c>
      <c r="J93" s="496">
        <v>1132555</v>
      </c>
      <c r="K93" s="496">
        <v>1138165</v>
      </c>
      <c r="L93" s="497">
        <v>2398672</v>
      </c>
      <c r="M93" s="463"/>
      <c r="O93" s="58">
        <f t="shared" si="29"/>
        <v>1.1741566766057627E-2</v>
      </c>
      <c r="P93" s="59">
        <f t="shared" si="30"/>
        <v>1.7320652165887549E-2</v>
      </c>
      <c r="Q93" s="59">
        <f t="shared" si="31"/>
        <v>1.4729076745722875E-2</v>
      </c>
      <c r="R93" s="59">
        <f t="shared" si="32"/>
        <v>1.8485703822758555E-2</v>
      </c>
      <c r="S93" s="59">
        <f t="shared" si="33"/>
        <v>1.0406956920418558E-2</v>
      </c>
      <c r="T93" s="59">
        <f t="shared" si="34"/>
        <v>1.777943536177504E-2</v>
      </c>
      <c r="U93" s="59">
        <f t="shared" si="35"/>
        <v>1.5830803629163427E-2</v>
      </c>
      <c r="V93" s="59">
        <f t="shared" si="36"/>
        <v>9.9777148400890057E-3</v>
      </c>
      <c r="W93" s="59">
        <f t="shared" si="37"/>
        <v>1.7446906289198753E-2</v>
      </c>
      <c r="X93" s="59">
        <f t="shared" si="38"/>
        <v>1.1201064533411371E-2</v>
      </c>
      <c r="Y93" s="60">
        <f t="shared" si="39"/>
        <v>1.5155689007039817E-2</v>
      </c>
      <c r="Z93" s="60">
        <f t="shared" si="40"/>
        <v>1.4552324552865687E-2</v>
      </c>
      <c r="AB93" s="68"/>
      <c r="AC93" s="59">
        <f t="shared" si="53"/>
        <v>-0.25068408847473289</v>
      </c>
      <c r="AD93" s="59">
        <f t="shared" si="53"/>
        <v>-0.57985796334556283</v>
      </c>
      <c r="AE93" s="59">
        <f t="shared" si="53"/>
        <v>0.94897186147186141</v>
      </c>
      <c r="AF93" s="59">
        <f t="shared" si="53"/>
        <v>-0.18827220479218143</v>
      </c>
      <c r="AG93" s="59">
        <f t="shared" si="28"/>
        <v>0.86579046381173885</v>
      </c>
      <c r="AH93" s="59">
        <f t="shared" si="28"/>
        <v>0.70156466981067211</v>
      </c>
      <c r="AI93" s="59">
        <f t="shared" si="28"/>
        <v>0.69203772461783153</v>
      </c>
      <c r="AJ93" s="59">
        <f t="shared" si="28"/>
        <v>-9.8574184736756609E-2</v>
      </c>
      <c r="AK93" s="59">
        <f t="shared" si="54"/>
        <v>4.9534018215451336E-3</v>
      </c>
      <c r="AL93" s="59">
        <f t="shared" si="54"/>
        <v>1.1074905659548482</v>
      </c>
      <c r="AM93" s="65">
        <f t="shared" si="41"/>
        <v>0.32034202461392636</v>
      </c>
      <c r="AO93" s="58"/>
      <c r="AP93" s="59">
        <f t="shared" si="42"/>
        <v>-0.3109738744595244</v>
      </c>
      <c r="AQ93" s="59">
        <f t="shared" si="43"/>
        <v>-0.60971478248542765</v>
      </c>
      <c r="AR93" s="59">
        <f t="shared" si="44"/>
        <v>0.8216392760742699</v>
      </c>
      <c r="AS93" s="59">
        <f t="shared" si="45"/>
        <v>-0.2377427033450854</v>
      </c>
      <c r="AT93" s="59">
        <f t="shared" si="46"/>
        <v>0.76856329600688045</v>
      </c>
      <c r="AU93" s="59">
        <f t="shared" si="47"/>
        <v>0.62281624422195603</v>
      </c>
      <c r="AV93" s="59">
        <f t="shared" si="48"/>
        <v>0.61948480533865968</v>
      </c>
      <c r="AW93" s="59">
        <f t="shared" si="49"/>
        <v>-0.14710396890600486</v>
      </c>
      <c r="AX93" s="59">
        <f t="shared" si="50"/>
        <v>-6.6635644263448368E-2</v>
      </c>
      <c r="AY93" s="59">
        <f t="shared" si="51"/>
        <v>1.0661672215243607</v>
      </c>
      <c r="AZ93" s="65">
        <f t="shared" si="52"/>
        <v>0.2526499869706636</v>
      </c>
    </row>
    <row r="94" spans="1:52" ht="25.5">
      <c r="A94" s="515" t="s">
        <v>39</v>
      </c>
      <c r="B94" s="495">
        <v>1716964</v>
      </c>
      <c r="C94" s="496">
        <v>1291325</v>
      </c>
      <c r="D94" s="496">
        <v>917176</v>
      </c>
      <c r="E94" s="496">
        <v>1934994</v>
      </c>
      <c r="F94" s="496">
        <v>2709899</v>
      </c>
      <c r="G94" s="496">
        <v>1644500</v>
      </c>
      <c r="H94" s="496">
        <v>1877492</v>
      </c>
      <c r="I94" s="496">
        <v>133980</v>
      </c>
      <c r="J94" s="496">
        <v>145043</v>
      </c>
      <c r="K94" s="496">
        <v>228975</v>
      </c>
      <c r="L94" s="497">
        <v>190173</v>
      </c>
      <c r="M94" s="463"/>
      <c r="O94" s="58">
        <f t="shared" si="29"/>
        <v>4.2929554199861095E-2</v>
      </c>
      <c r="P94" s="59">
        <f t="shared" si="30"/>
        <v>6.3562940761549322E-2</v>
      </c>
      <c r="Q94" s="59">
        <f t="shared" si="31"/>
        <v>9.1376864808814406E-2</v>
      </c>
      <c r="R94" s="59">
        <f t="shared" si="32"/>
        <v>0.12414181491661878</v>
      </c>
      <c r="S94" s="59">
        <f t="shared" si="33"/>
        <v>0.12057823467508094</v>
      </c>
      <c r="T94" s="59">
        <f t="shared" si="34"/>
        <v>6.7000961195911549E-2</v>
      </c>
      <c r="U94" s="59">
        <f t="shared" si="35"/>
        <v>4.0027806172235128E-2</v>
      </c>
      <c r="V94" s="59">
        <f t="shared" si="36"/>
        <v>1.0640003010776191E-3</v>
      </c>
      <c r="W94" s="59">
        <f t="shared" si="37"/>
        <v>2.2343741618766899E-3</v>
      </c>
      <c r="X94" s="59">
        <f t="shared" si="38"/>
        <v>2.2534199800010269E-3</v>
      </c>
      <c r="Y94" s="60">
        <f t="shared" si="39"/>
        <v>1.2015827280827821E-3</v>
      </c>
      <c r="Z94" s="60">
        <f t="shared" si="40"/>
        <v>5.0579232172828122E-2</v>
      </c>
      <c r="AB94" s="68"/>
      <c r="AC94" s="59">
        <f t="shared" si="53"/>
        <v>-0.24790211093534864</v>
      </c>
      <c r="AD94" s="59">
        <f t="shared" si="53"/>
        <v>-0.28974038294000348</v>
      </c>
      <c r="AE94" s="59">
        <f t="shared" si="53"/>
        <v>1.1097303025809659</v>
      </c>
      <c r="AF94" s="59">
        <f t="shared" si="53"/>
        <v>0.40046894202255934</v>
      </c>
      <c r="AG94" s="59">
        <f t="shared" si="28"/>
        <v>-0.393150814845867</v>
      </c>
      <c r="AH94" s="59">
        <f t="shared" si="28"/>
        <v>0.141679537853451</v>
      </c>
      <c r="AI94" s="59">
        <f t="shared" si="28"/>
        <v>-0.92863884373408778</v>
      </c>
      <c r="AJ94" s="59">
        <f t="shared" si="28"/>
        <v>8.2572025675474059E-2</v>
      </c>
      <c r="AK94" s="59">
        <f t="shared" si="54"/>
        <v>0.57866977379122053</v>
      </c>
      <c r="AL94" s="59">
        <f t="shared" si="54"/>
        <v>-0.16945954798558793</v>
      </c>
      <c r="AM94" s="65">
        <f t="shared" si="41"/>
        <v>2.8422888148277602E-2</v>
      </c>
      <c r="AO94" s="58"/>
      <c r="AP94" s="59">
        <f t="shared" si="42"/>
        <v>-0.30841573419342394</v>
      </c>
      <c r="AQ94" s="59">
        <f t="shared" si="43"/>
        <v>-0.34021401109150351</v>
      </c>
      <c r="AR94" s="59">
        <f t="shared" si="44"/>
        <v>0.97189485239832307</v>
      </c>
      <c r="AS94" s="59">
        <f t="shared" si="45"/>
        <v>0.31511779699742637</v>
      </c>
      <c r="AT94" s="59">
        <f t="shared" si="46"/>
        <v>-0.42477399478038291</v>
      </c>
      <c r="AU94" s="59">
        <f t="shared" si="47"/>
        <v>8.8842600340628852E-2</v>
      </c>
      <c r="AV94" s="59">
        <f t="shared" si="48"/>
        <v>-0.93169874017428</v>
      </c>
      <c r="AW94" s="59">
        <f t="shared" si="49"/>
        <v>2.4289928730697463E-2</v>
      </c>
      <c r="AX94" s="59">
        <f t="shared" si="50"/>
        <v>0.46621136230261029</v>
      </c>
      <c r="AY94" s="59">
        <f t="shared" si="51"/>
        <v>-0.18574465488783132</v>
      </c>
      <c r="AZ94" s="65">
        <f t="shared" si="52"/>
        <v>-3.2449059435773565E-2</v>
      </c>
    </row>
    <row r="95" spans="1:52" ht="38.25">
      <c r="A95" s="515" t="s">
        <v>40</v>
      </c>
      <c r="B95" s="495">
        <v>86000</v>
      </c>
      <c r="C95" s="496">
        <v>31940</v>
      </c>
      <c r="D95" s="496">
        <v>43453</v>
      </c>
      <c r="E95" s="496">
        <v>8184</v>
      </c>
      <c r="F95" s="496"/>
      <c r="G95" s="496">
        <v>6619</v>
      </c>
      <c r="H95" s="496">
        <v>50555</v>
      </c>
      <c r="I95" s="496">
        <v>75223</v>
      </c>
      <c r="J95" s="496">
        <v>34704</v>
      </c>
      <c r="K95" s="496">
        <v>41322</v>
      </c>
      <c r="L95" s="497">
        <v>266290</v>
      </c>
      <c r="M95" s="463"/>
      <c r="O95" s="58">
        <f t="shared" si="29"/>
        <v>2.1502731922090701E-3</v>
      </c>
      <c r="P95" s="59">
        <f t="shared" si="30"/>
        <v>1.5721838638018202E-3</v>
      </c>
      <c r="Q95" s="59">
        <f t="shared" si="31"/>
        <v>4.3291570064386909E-3</v>
      </c>
      <c r="R95" s="59">
        <f t="shared" si="32"/>
        <v>5.2505414139661832E-4</v>
      </c>
      <c r="S95" s="59">
        <f t="shared" si="33"/>
        <v>0</v>
      </c>
      <c r="T95" s="59">
        <f t="shared" si="34"/>
        <v>2.6967428528777048E-4</v>
      </c>
      <c r="U95" s="59">
        <f t="shared" si="35"/>
        <v>1.0778238954079948E-3</v>
      </c>
      <c r="V95" s="59">
        <f t="shared" si="36"/>
        <v>5.9738240519451968E-4</v>
      </c>
      <c r="W95" s="59">
        <f t="shared" si="37"/>
        <v>5.3461194896526308E-4</v>
      </c>
      <c r="X95" s="59">
        <f t="shared" si="38"/>
        <v>4.0666369871646439E-4</v>
      </c>
      <c r="Y95" s="60">
        <f t="shared" si="39"/>
        <v>1.6825178372385356E-3</v>
      </c>
      <c r="Z95" s="60">
        <f t="shared" si="40"/>
        <v>1.1950311158778861E-3</v>
      </c>
      <c r="AB95" s="68"/>
      <c r="AC95" s="59">
        <f t="shared" si="53"/>
        <v>-0.62860465116279074</v>
      </c>
      <c r="AD95" s="59">
        <f t="shared" si="53"/>
        <v>0.36045710707576717</v>
      </c>
      <c r="AE95" s="59">
        <f t="shared" si="53"/>
        <v>-0.8116585736312798</v>
      </c>
      <c r="AF95" s="59">
        <f t="shared" si="53"/>
        <v>-1</v>
      </c>
      <c r="AG95" s="59" t="str">
        <f t="shared" si="28"/>
        <v/>
      </c>
      <c r="AH95" s="59">
        <f t="shared" si="28"/>
        <v>6.6378607040338418</v>
      </c>
      <c r="AI95" s="59">
        <f t="shared" si="28"/>
        <v>0.48794382355850074</v>
      </c>
      <c r="AJ95" s="59">
        <f t="shared" si="28"/>
        <v>-0.53865174215333078</v>
      </c>
      <c r="AK95" s="59">
        <f t="shared" si="54"/>
        <v>0.19069847856154909</v>
      </c>
      <c r="AL95" s="59">
        <f t="shared" si="54"/>
        <v>5.444266976429021</v>
      </c>
      <c r="AM95" s="65">
        <f t="shared" si="41"/>
        <v>1.126923569190142</v>
      </c>
      <c r="AO95" s="58"/>
      <c r="AP95" s="59">
        <f t="shared" si="42"/>
        <v>-0.6584870355519914</v>
      </c>
      <c r="AQ95" s="59">
        <f t="shared" si="43"/>
        <v>0.26377808367465594</v>
      </c>
      <c r="AR95" s="59">
        <f t="shared" si="44"/>
        <v>-0.82396352334917267</v>
      </c>
      <c r="AS95" s="59">
        <f t="shared" si="45"/>
        <v>-1</v>
      </c>
      <c r="AT95" s="59">
        <f t="shared" si="46"/>
        <v>0</v>
      </c>
      <c r="AU95" s="59">
        <f t="shared" si="47"/>
        <v>6.2843804537795203</v>
      </c>
      <c r="AV95" s="59">
        <f t="shared" si="48"/>
        <v>0.42414225072597711</v>
      </c>
      <c r="AW95" s="59">
        <f t="shared" si="49"/>
        <v>-0.56348920631406063</v>
      </c>
      <c r="AX95" s="59">
        <f t="shared" si="50"/>
        <v>0.1058776618942594</v>
      </c>
      <c r="AY95" s="59">
        <f t="shared" si="51"/>
        <v>5.317908800420609</v>
      </c>
      <c r="AZ95" s="65">
        <f t="shared" si="52"/>
        <v>0.93501474852797961</v>
      </c>
    </row>
    <row r="96" spans="1:52" ht="38.25">
      <c r="A96" s="515" t="s">
        <v>173</v>
      </c>
      <c r="B96" s="495">
        <v>80787</v>
      </c>
      <c r="C96" s="496">
        <v>15773</v>
      </c>
      <c r="D96" s="496">
        <v>31159</v>
      </c>
      <c r="E96" s="496">
        <v>1358</v>
      </c>
      <c r="F96" s="496">
        <v>838</v>
      </c>
      <c r="G96" s="496">
        <v>62677</v>
      </c>
      <c r="H96" s="496">
        <v>134103</v>
      </c>
      <c r="I96" s="496">
        <v>47528</v>
      </c>
      <c r="J96" s="496">
        <v>121043</v>
      </c>
      <c r="K96" s="496">
        <v>140068</v>
      </c>
      <c r="L96" s="497"/>
      <c r="M96" s="463"/>
      <c r="O96" s="58">
        <f t="shared" si="29"/>
        <v>2.0199316323138853E-3</v>
      </c>
      <c r="P96" s="59">
        <f t="shared" si="30"/>
        <v>7.7639499322937095E-4</v>
      </c>
      <c r="Q96" s="59">
        <f t="shared" si="31"/>
        <v>3.1043242851730183E-3</v>
      </c>
      <c r="R96" s="59">
        <f t="shared" si="32"/>
        <v>8.7124086512293221E-5</v>
      </c>
      <c r="S96" s="59">
        <f t="shared" si="33"/>
        <v>3.7287205411610482E-5</v>
      </c>
      <c r="T96" s="59">
        <f t="shared" si="34"/>
        <v>2.5536146213901781E-3</v>
      </c>
      <c r="U96" s="59">
        <f t="shared" si="35"/>
        <v>2.8590528700602972E-3</v>
      </c>
      <c r="V96" s="59">
        <f t="shared" si="36"/>
        <v>3.774429490193841E-4</v>
      </c>
      <c r="W96" s="59">
        <f t="shared" si="37"/>
        <v>1.864656354846771E-3</v>
      </c>
      <c r="X96" s="59">
        <f t="shared" si="38"/>
        <v>1.3784562933018183E-3</v>
      </c>
      <c r="Y96" s="60">
        <f t="shared" si="39"/>
        <v>0</v>
      </c>
      <c r="Z96" s="60">
        <f t="shared" si="40"/>
        <v>1.3689350264780571E-3</v>
      </c>
      <c r="AB96" s="68"/>
      <c r="AC96" s="59">
        <f t="shared" si="53"/>
        <v>-0.80475819129315362</v>
      </c>
      <c r="AD96" s="59">
        <f t="shared" si="53"/>
        <v>0.97546440119191025</v>
      </c>
      <c r="AE96" s="59">
        <f t="shared" si="53"/>
        <v>-0.95641708655605118</v>
      </c>
      <c r="AF96" s="59">
        <f t="shared" si="53"/>
        <v>-0.38291605301914577</v>
      </c>
      <c r="AG96" s="59">
        <f t="shared" si="28"/>
        <v>73.793556085918851</v>
      </c>
      <c r="AH96" s="59">
        <f t="shared" si="28"/>
        <v>1.1395886848445205</v>
      </c>
      <c r="AI96" s="59">
        <f t="shared" si="28"/>
        <v>-0.64558585564827031</v>
      </c>
      <c r="AJ96" s="59">
        <f t="shared" si="28"/>
        <v>1.5467724288840263</v>
      </c>
      <c r="AK96" s="59">
        <f t="shared" si="54"/>
        <v>0.15717554918500043</v>
      </c>
      <c r="AL96" s="59">
        <f t="shared" si="54"/>
        <v>-1</v>
      </c>
      <c r="AM96" s="65">
        <f t="shared" si="41"/>
        <v>7.3822879963507706</v>
      </c>
      <c r="AO96" s="58"/>
      <c r="AP96" s="59">
        <f t="shared" si="42"/>
        <v>-0.82046730233853205</v>
      </c>
      <c r="AQ96" s="59">
        <f t="shared" si="43"/>
        <v>0.83508072567757563</v>
      </c>
      <c r="AR96" s="59">
        <f t="shared" si="44"/>
        <v>-0.95926449813632231</v>
      </c>
      <c r="AS96" s="59">
        <f t="shared" si="45"/>
        <v>-0.42052404265109</v>
      </c>
      <c r="AT96" s="59">
        <f t="shared" si="46"/>
        <v>69.896030737101611</v>
      </c>
      <c r="AU96" s="59">
        <f t="shared" si="47"/>
        <v>1.0405685045785038</v>
      </c>
      <c r="AV96" s="59">
        <f t="shared" si="48"/>
        <v>-0.66078278679964608</v>
      </c>
      <c r="AW96" s="59">
        <f t="shared" si="49"/>
        <v>1.409662625493449</v>
      </c>
      <c r="AX96" s="59">
        <f t="shared" si="50"/>
        <v>7.4742778104393448E-2</v>
      </c>
      <c r="AY96" s="59">
        <f t="shared" si="51"/>
        <v>-1</v>
      </c>
      <c r="AZ96" s="65">
        <f t="shared" si="52"/>
        <v>6.9395046741029942</v>
      </c>
    </row>
    <row r="97" spans="1:52" ht="25.5">
      <c r="A97" s="515" t="s">
        <v>177</v>
      </c>
      <c r="B97" s="495"/>
      <c r="C97" s="496"/>
      <c r="D97" s="496"/>
      <c r="E97" s="496"/>
      <c r="F97" s="496"/>
      <c r="G97" s="496">
        <v>340</v>
      </c>
      <c r="H97" s="496"/>
      <c r="I97" s="496"/>
      <c r="J97" s="496"/>
      <c r="K97" s="496">
        <v>5553</v>
      </c>
      <c r="L97" s="497"/>
      <c r="M97" s="463"/>
      <c r="O97" s="58">
        <f t="shared" si="29"/>
        <v>0</v>
      </c>
      <c r="P97" s="59">
        <f t="shared" si="30"/>
        <v>0</v>
      </c>
      <c r="Q97" s="59">
        <f t="shared" si="31"/>
        <v>0</v>
      </c>
      <c r="R97" s="59">
        <f t="shared" si="32"/>
        <v>0</v>
      </c>
      <c r="S97" s="59">
        <f t="shared" si="33"/>
        <v>0</v>
      </c>
      <c r="T97" s="59">
        <f t="shared" si="34"/>
        <v>1.3852433448835467E-5</v>
      </c>
      <c r="U97" s="59">
        <f t="shared" si="35"/>
        <v>0</v>
      </c>
      <c r="V97" s="59">
        <f t="shared" si="36"/>
        <v>0</v>
      </c>
      <c r="W97" s="59">
        <f t="shared" si="37"/>
        <v>0</v>
      </c>
      <c r="X97" s="59">
        <f t="shared" si="38"/>
        <v>5.4648940491082876E-5</v>
      </c>
      <c r="Y97" s="60">
        <f t="shared" si="39"/>
        <v>0</v>
      </c>
      <c r="Z97" s="60">
        <f t="shared" si="40"/>
        <v>6.2273976309016674E-6</v>
      </c>
      <c r="AB97" s="68"/>
      <c r="AC97" s="59" t="str">
        <f t="shared" si="53"/>
        <v/>
      </c>
      <c r="AD97" s="59" t="str">
        <f t="shared" si="53"/>
        <v/>
      </c>
      <c r="AE97" s="59" t="str">
        <f t="shared" si="53"/>
        <v/>
      </c>
      <c r="AF97" s="59" t="str">
        <f t="shared" si="53"/>
        <v/>
      </c>
      <c r="AG97" s="59" t="str">
        <f t="shared" si="28"/>
        <v/>
      </c>
      <c r="AH97" s="59">
        <f t="shared" si="28"/>
        <v>-1</v>
      </c>
      <c r="AI97" s="59" t="str">
        <f t="shared" si="28"/>
        <v/>
      </c>
      <c r="AJ97" s="59" t="str">
        <f t="shared" si="28"/>
        <v/>
      </c>
      <c r="AK97" s="59" t="str">
        <f t="shared" si="54"/>
        <v/>
      </c>
      <c r="AL97" s="59">
        <f t="shared" si="54"/>
        <v>-1</v>
      </c>
      <c r="AM97" s="65">
        <f t="shared" si="41"/>
        <v>-1</v>
      </c>
      <c r="AO97" s="58"/>
      <c r="AP97" s="59">
        <f t="shared" si="42"/>
        <v>0</v>
      </c>
      <c r="AQ97" s="59">
        <f t="shared" si="43"/>
        <v>0</v>
      </c>
      <c r="AR97" s="59">
        <f t="shared" si="44"/>
        <v>0</v>
      </c>
      <c r="AS97" s="59">
        <f t="shared" si="45"/>
        <v>0</v>
      </c>
      <c r="AT97" s="59">
        <f t="shared" si="46"/>
        <v>0</v>
      </c>
      <c r="AU97" s="59">
        <f t="shared" si="47"/>
        <v>-1</v>
      </c>
      <c r="AV97" s="59">
        <f t="shared" si="48"/>
        <v>0</v>
      </c>
      <c r="AW97" s="59">
        <f t="shared" si="49"/>
        <v>0</v>
      </c>
      <c r="AX97" s="59">
        <f t="shared" si="50"/>
        <v>0</v>
      </c>
      <c r="AY97" s="59">
        <f t="shared" si="51"/>
        <v>-1</v>
      </c>
      <c r="AZ97" s="65">
        <f t="shared" si="52"/>
        <v>-0.2</v>
      </c>
    </row>
    <row r="98" spans="1:52" ht="51">
      <c r="A98" s="515" t="s">
        <v>41</v>
      </c>
      <c r="B98" s="495">
        <v>1883751</v>
      </c>
      <c r="C98" s="496">
        <v>1339038</v>
      </c>
      <c r="D98" s="496">
        <v>991788</v>
      </c>
      <c r="E98" s="496">
        <v>1944536</v>
      </c>
      <c r="F98" s="496">
        <v>2710737</v>
      </c>
      <c r="G98" s="496">
        <v>1714136</v>
      </c>
      <c r="H98" s="496">
        <v>2062150</v>
      </c>
      <c r="I98" s="496">
        <v>256731</v>
      </c>
      <c r="J98" s="496">
        <v>300790</v>
      </c>
      <c r="K98" s="496">
        <v>415918</v>
      </c>
      <c r="L98" s="497">
        <v>456463</v>
      </c>
      <c r="M98" s="463"/>
      <c r="O98" s="58">
        <f t="shared" si="29"/>
        <v>4.7099759024384048E-2</v>
      </c>
      <c r="P98" s="59">
        <f t="shared" si="30"/>
        <v>6.5911519618580522E-2</v>
      </c>
      <c r="Q98" s="59">
        <f t="shared" si="31"/>
        <v>9.8810346100426119E-2</v>
      </c>
      <c r="R98" s="59">
        <f t="shared" si="32"/>
        <v>0.1247539931445277</v>
      </c>
      <c r="S98" s="59">
        <f t="shared" si="33"/>
        <v>0.12061552188049254</v>
      </c>
      <c r="T98" s="59">
        <f t="shared" si="34"/>
        <v>6.9838102536038324E-2</v>
      </c>
      <c r="U98" s="59">
        <f t="shared" si="35"/>
        <v>4.396468293770342E-2</v>
      </c>
      <c r="V98" s="59">
        <f t="shared" si="36"/>
        <v>2.0388256552915231E-3</v>
      </c>
      <c r="W98" s="59">
        <f t="shared" si="37"/>
        <v>4.633642465688724E-3</v>
      </c>
      <c r="X98" s="59">
        <f t="shared" si="38"/>
        <v>4.0931889125103921E-3</v>
      </c>
      <c r="Y98" s="60">
        <f t="shared" si="39"/>
        <v>2.8841005653213177E-3</v>
      </c>
      <c r="Z98" s="60">
        <f t="shared" si="40"/>
        <v>5.314942571281496E-2</v>
      </c>
      <c r="AB98" s="68"/>
      <c r="AC98" s="59">
        <f t="shared" si="53"/>
        <v>-0.28916401371518852</v>
      </c>
      <c r="AD98" s="59">
        <f t="shared" si="53"/>
        <v>-0.25932796530046198</v>
      </c>
      <c r="AE98" s="59">
        <f t="shared" si="53"/>
        <v>0.96063674898264551</v>
      </c>
      <c r="AF98" s="59">
        <f t="shared" si="53"/>
        <v>0.39402767549687945</v>
      </c>
      <c r="AG98" s="59">
        <f t="shared" si="28"/>
        <v>-0.36764946212044913</v>
      </c>
      <c r="AH98" s="59">
        <f t="shared" si="28"/>
        <v>0.20302589759505674</v>
      </c>
      <c r="AI98" s="59">
        <f t="shared" si="28"/>
        <v>-0.87550323691293064</v>
      </c>
      <c r="AJ98" s="59">
        <f t="shared" si="28"/>
        <v>0.17161542626328719</v>
      </c>
      <c r="AK98" s="59">
        <f t="shared" si="54"/>
        <v>0.38275208617307754</v>
      </c>
      <c r="AL98" s="59">
        <f t="shared" si="54"/>
        <v>9.7483157737823234E-2</v>
      </c>
      <c r="AM98" s="65">
        <f t="shared" si="41"/>
        <v>4.1789631419973938E-2</v>
      </c>
      <c r="AO98" s="58"/>
      <c r="AP98" s="59">
        <f t="shared" si="42"/>
        <v>-0.34635771376109281</v>
      </c>
      <c r="AQ98" s="59">
        <f t="shared" si="43"/>
        <v>-0.31196281031162287</v>
      </c>
      <c r="AR98" s="59">
        <f t="shared" si="44"/>
        <v>0.83254205905472034</v>
      </c>
      <c r="AS98" s="59">
        <f t="shared" si="45"/>
        <v>0.30906909146105699</v>
      </c>
      <c r="AT98" s="59">
        <f t="shared" si="46"/>
        <v>-0.40060152884518885</v>
      </c>
      <c r="AU98" s="59">
        <f t="shared" si="47"/>
        <v>0.14734985009660706</v>
      </c>
      <c r="AV98" s="59">
        <f t="shared" si="48"/>
        <v>-0.88084153609583715</v>
      </c>
      <c r="AW98" s="59">
        <f t="shared" si="49"/>
        <v>0.10853952716745874</v>
      </c>
      <c r="AX98" s="59">
        <f t="shared" si="50"/>
        <v>0.28425010325353162</v>
      </c>
      <c r="AY98" s="59">
        <f t="shared" si="51"/>
        <v>7.5963880135120787E-2</v>
      </c>
      <c r="AZ98" s="65">
        <f t="shared" si="52"/>
        <v>-1.8204907784524615E-2</v>
      </c>
    </row>
    <row r="99" spans="1:52" ht="25.5">
      <c r="A99" s="515" t="s">
        <v>42</v>
      </c>
      <c r="B99" s="495">
        <v>97100</v>
      </c>
      <c r="C99" s="496"/>
      <c r="D99" s="496"/>
      <c r="E99" s="496">
        <v>319156</v>
      </c>
      <c r="F99" s="496">
        <v>261054</v>
      </c>
      <c r="G99" s="496">
        <v>437670</v>
      </c>
      <c r="H99" s="496">
        <v>330567</v>
      </c>
      <c r="I99" s="496">
        <v>400428</v>
      </c>
      <c r="J99" s="496">
        <v>115750</v>
      </c>
      <c r="K99" s="496">
        <v>96828</v>
      </c>
      <c r="L99" s="497">
        <v>165417</v>
      </c>
      <c r="M99" s="463"/>
      <c r="O99" s="58">
        <f t="shared" si="29"/>
        <v>2.4278084530639618E-3</v>
      </c>
      <c r="P99" s="59">
        <f t="shared" si="30"/>
        <v>0</v>
      </c>
      <c r="Q99" s="59">
        <f t="shared" si="31"/>
        <v>0</v>
      </c>
      <c r="R99" s="59">
        <f t="shared" si="32"/>
        <v>2.0475828390955415E-2</v>
      </c>
      <c r="S99" s="59">
        <f t="shared" si="33"/>
        <v>1.1615720908738142E-2</v>
      </c>
      <c r="T99" s="59">
        <f t="shared" si="34"/>
        <v>1.7831748669270054E-2</v>
      </c>
      <c r="U99" s="59">
        <f t="shared" si="35"/>
        <v>7.0476315227640113E-3</v>
      </c>
      <c r="V99" s="59">
        <f t="shared" si="36"/>
        <v>3.1799933763241445E-3</v>
      </c>
      <c r="W99" s="59">
        <f t="shared" si="37"/>
        <v>1.7831181734880475E-3</v>
      </c>
      <c r="X99" s="59">
        <f t="shared" si="38"/>
        <v>9.5291691155601887E-4</v>
      </c>
      <c r="Y99" s="60">
        <f t="shared" si="39"/>
        <v>1.0451652449678427E-3</v>
      </c>
      <c r="Z99" s="60">
        <f t="shared" si="40"/>
        <v>6.0327210591934214E-3</v>
      </c>
      <c r="AB99" s="68"/>
      <c r="AC99" s="59">
        <f t="shared" si="53"/>
        <v>-1</v>
      </c>
      <c r="AD99" s="59" t="str">
        <f t="shared" si="53"/>
        <v/>
      </c>
      <c r="AE99" s="59" t="str">
        <f t="shared" si="53"/>
        <v/>
      </c>
      <c r="AF99" s="59">
        <f t="shared" si="53"/>
        <v>-0.18204890398425844</v>
      </c>
      <c r="AG99" s="59">
        <f t="shared" si="28"/>
        <v>0.67654967937668076</v>
      </c>
      <c r="AH99" s="59">
        <f t="shared" si="28"/>
        <v>-0.24471176914113368</v>
      </c>
      <c r="AI99" s="59">
        <f t="shared" si="28"/>
        <v>0.2113368848070134</v>
      </c>
      <c r="AJ99" s="59">
        <f t="shared" si="28"/>
        <v>-0.71093430029868043</v>
      </c>
      <c r="AK99" s="59">
        <f t="shared" si="54"/>
        <v>-0.16347300215982719</v>
      </c>
      <c r="AL99" s="59">
        <f t="shared" si="54"/>
        <v>0.70835915231131485</v>
      </c>
      <c r="AM99" s="65">
        <f t="shared" si="41"/>
        <v>-8.8115282386111354E-2</v>
      </c>
      <c r="AO99" s="58"/>
      <c r="AP99" s="59">
        <f t="shared" si="42"/>
        <v>-1</v>
      </c>
      <c r="AQ99" s="59">
        <f t="shared" si="43"/>
        <v>0</v>
      </c>
      <c r="AR99" s="59">
        <f t="shared" si="44"/>
        <v>0</v>
      </c>
      <c r="AS99" s="59">
        <f t="shared" si="45"/>
        <v>-0.23189867967345146</v>
      </c>
      <c r="AT99" s="59">
        <f t="shared" si="46"/>
        <v>0.58918393270171787</v>
      </c>
      <c r="AU99" s="59">
        <f t="shared" si="47"/>
        <v>-0.27966651408917043</v>
      </c>
      <c r="AV99" s="59">
        <f t="shared" si="48"/>
        <v>0.15939594640793775</v>
      </c>
      <c r="AW99" s="59">
        <f t="shared" si="49"/>
        <v>-0.72649664140285775</v>
      </c>
      <c r="AX99" s="59">
        <f t="shared" si="50"/>
        <v>-0.22306399383284781</v>
      </c>
      <c r="AY99" s="59">
        <f t="shared" si="51"/>
        <v>0.67486191403070084</v>
      </c>
      <c r="AZ99" s="65">
        <f t="shared" si="52"/>
        <v>-0.10376840358579709</v>
      </c>
    </row>
    <row r="100" spans="1:52" ht="38.25">
      <c r="A100" s="515" t="s">
        <v>43</v>
      </c>
      <c r="B100" s="495">
        <v>2732067</v>
      </c>
      <c r="C100" s="496">
        <v>2514244</v>
      </c>
      <c r="D100" s="496">
        <v>190885</v>
      </c>
      <c r="E100" s="496">
        <v>272834</v>
      </c>
      <c r="F100" s="496">
        <v>347665</v>
      </c>
      <c r="G100" s="496">
        <v>957040</v>
      </c>
      <c r="H100" s="496">
        <v>3000681</v>
      </c>
      <c r="I100" s="496">
        <v>3836758</v>
      </c>
      <c r="J100" s="496">
        <v>2279726</v>
      </c>
      <c r="K100" s="496">
        <v>6209622</v>
      </c>
      <c r="L100" s="497">
        <v>6404611</v>
      </c>
      <c r="M100" s="463"/>
      <c r="O100" s="58">
        <f t="shared" si="29"/>
        <v>6.8310353830454154E-2</v>
      </c>
      <c r="P100" s="59">
        <f t="shared" si="30"/>
        <v>0.12375873032124432</v>
      </c>
      <c r="Q100" s="59">
        <f t="shared" si="31"/>
        <v>1.9017585326077589E-2</v>
      </c>
      <c r="R100" s="59">
        <f t="shared" si="32"/>
        <v>1.7503986023192201E-2</v>
      </c>
      <c r="S100" s="59">
        <f t="shared" si="33"/>
        <v>1.5469518221273935E-2</v>
      </c>
      <c r="T100" s="59">
        <f t="shared" si="34"/>
        <v>3.8992155611392632E-2</v>
      </c>
      <c r="U100" s="59">
        <f t="shared" si="35"/>
        <v>6.3974002260839824E-2</v>
      </c>
      <c r="V100" s="59">
        <f t="shared" si="36"/>
        <v>3.0469560137050038E-2</v>
      </c>
      <c r="W100" s="59">
        <f t="shared" si="37"/>
        <v>3.5118970722878728E-2</v>
      </c>
      <c r="X100" s="59">
        <f t="shared" si="38"/>
        <v>6.1110978417093294E-2</v>
      </c>
      <c r="Y100" s="60">
        <f t="shared" si="39"/>
        <v>4.0466680115941775E-2</v>
      </c>
      <c r="Z100" s="60">
        <f t="shared" si="40"/>
        <v>4.6744774635221684E-2</v>
      </c>
      <c r="AB100" s="68"/>
      <c r="AC100" s="59">
        <f t="shared" si="53"/>
        <v>-7.9728278991693879E-2</v>
      </c>
      <c r="AD100" s="59">
        <f t="shared" si="53"/>
        <v>-0.92407856993991033</v>
      </c>
      <c r="AE100" s="59">
        <f t="shared" si="53"/>
        <v>0.42931084160620259</v>
      </c>
      <c r="AF100" s="59">
        <f t="shared" si="53"/>
        <v>0.27427300116554387</v>
      </c>
      <c r="AG100" s="59">
        <f t="shared" si="28"/>
        <v>1.7527648742323789</v>
      </c>
      <c r="AH100" s="59">
        <f t="shared" si="28"/>
        <v>2.1353767867591742</v>
      </c>
      <c r="AI100" s="59">
        <f t="shared" si="28"/>
        <v>0.27862908453114477</v>
      </c>
      <c r="AJ100" s="59">
        <f t="shared" si="28"/>
        <v>-0.40581970507391918</v>
      </c>
      <c r="AK100" s="59">
        <f t="shared" si="54"/>
        <v>1.723845760411558</v>
      </c>
      <c r="AL100" s="59">
        <f t="shared" si="54"/>
        <v>3.1401106218703845E-2</v>
      </c>
      <c r="AM100" s="65">
        <f t="shared" si="41"/>
        <v>0.52159749009191836</v>
      </c>
      <c r="AO100" s="58"/>
      <c r="AP100" s="59">
        <f t="shared" si="42"/>
        <v>-0.15377313010730465</v>
      </c>
      <c r="AQ100" s="59">
        <f t="shared" si="43"/>
        <v>-0.92947382251733424</v>
      </c>
      <c r="AR100" s="59">
        <f t="shared" si="44"/>
        <v>0.33592937807851442</v>
      </c>
      <c r="AS100" s="59">
        <f t="shared" si="45"/>
        <v>0.19661282859004969</v>
      </c>
      <c r="AT100" s="59">
        <f t="shared" si="46"/>
        <v>1.609317076880298</v>
      </c>
      <c r="AU100" s="59">
        <f t="shared" si="47"/>
        <v>1.990271525721893</v>
      </c>
      <c r="AV100" s="59">
        <f t="shared" si="48"/>
        <v>0.22380272256043732</v>
      </c>
      <c r="AW100" s="59">
        <f t="shared" si="49"/>
        <v>-0.43780840673092924</v>
      </c>
      <c r="AX100" s="59">
        <f t="shared" si="50"/>
        <v>1.5298093808967752</v>
      </c>
      <c r="AY100" s="59">
        <f t="shared" si="51"/>
        <v>1.1177555116376192E-2</v>
      </c>
      <c r="AZ100" s="65">
        <f t="shared" si="52"/>
        <v>0.43758651084887756</v>
      </c>
    </row>
    <row r="101" spans="1:52" ht="25.5">
      <c r="A101" s="515" t="s">
        <v>180</v>
      </c>
      <c r="B101" s="495"/>
      <c r="C101" s="496"/>
      <c r="D101" s="496"/>
      <c r="E101" s="496"/>
      <c r="F101" s="496"/>
      <c r="G101" s="496">
        <v>173</v>
      </c>
      <c r="H101" s="496"/>
      <c r="I101" s="496">
        <v>604576</v>
      </c>
      <c r="J101" s="496">
        <v>995239</v>
      </c>
      <c r="K101" s="496">
        <v>1293820</v>
      </c>
      <c r="L101" s="497">
        <v>1419169</v>
      </c>
      <c r="M101" s="463"/>
      <c r="O101" s="58">
        <f t="shared" si="29"/>
        <v>0</v>
      </c>
      <c r="P101" s="59">
        <f t="shared" si="30"/>
        <v>0</v>
      </c>
      <c r="Q101" s="59">
        <f t="shared" si="31"/>
        <v>0</v>
      </c>
      <c r="R101" s="59">
        <f t="shared" si="32"/>
        <v>0</v>
      </c>
      <c r="S101" s="59">
        <f t="shared" si="33"/>
        <v>0</v>
      </c>
      <c r="T101" s="59">
        <f t="shared" si="34"/>
        <v>7.0484440783780462E-6</v>
      </c>
      <c r="U101" s="59">
        <f t="shared" si="35"/>
        <v>0</v>
      </c>
      <c r="V101" s="59">
        <f t="shared" si="36"/>
        <v>4.8012318706098121E-3</v>
      </c>
      <c r="W101" s="59">
        <f t="shared" si="37"/>
        <v>1.533156585627707E-2</v>
      </c>
      <c r="X101" s="59">
        <f t="shared" si="38"/>
        <v>1.2732917735669522E-2</v>
      </c>
      <c r="Y101" s="60">
        <f t="shared" si="39"/>
        <v>8.9668299844379261E-3</v>
      </c>
      <c r="Z101" s="60">
        <f t="shared" si="40"/>
        <v>3.8035994446429734E-3</v>
      </c>
      <c r="AB101" s="68"/>
      <c r="AC101" s="59" t="str">
        <f t="shared" si="53"/>
        <v/>
      </c>
      <c r="AD101" s="59" t="str">
        <f t="shared" si="53"/>
        <v/>
      </c>
      <c r="AE101" s="59" t="str">
        <f t="shared" si="53"/>
        <v/>
      </c>
      <c r="AF101" s="59" t="str">
        <f t="shared" si="53"/>
        <v/>
      </c>
      <c r="AG101" s="59" t="str">
        <f t="shared" si="28"/>
        <v/>
      </c>
      <c r="AH101" s="59">
        <f t="shared" si="28"/>
        <v>-1</v>
      </c>
      <c r="AI101" s="59" t="str">
        <f t="shared" si="28"/>
        <v/>
      </c>
      <c r="AJ101" s="59">
        <f t="shared" si="28"/>
        <v>0.64617682474990734</v>
      </c>
      <c r="AK101" s="59">
        <f t="shared" si="54"/>
        <v>0.30000934448911276</v>
      </c>
      <c r="AL101" s="59">
        <f t="shared" si="54"/>
        <v>9.6882873970103978E-2</v>
      </c>
      <c r="AM101" s="65">
        <f t="shared" si="41"/>
        <v>1.076726080228102E-2</v>
      </c>
      <c r="AO101" s="58"/>
      <c r="AP101" s="59">
        <f t="shared" si="42"/>
        <v>0</v>
      </c>
      <c r="AQ101" s="59">
        <f t="shared" si="43"/>
        <v>0</v>
      </c>
      <c r="AR101" s="59">
        <f t="shared" si="44"/>
        <v>0</v>
      </c>
      <c r="AS101" s="59">
        <f t="shared" si="45"/>
        <v>0</v>
      </c>
      <c r="AT101" s="59">
        <f t="shared" si="46"/>
        <v>0</v>
      </c>
      <c r="AU101" s="59">
        <f t="shared" si="47"/>
        <v>-1</v>
      </c>
      <c r="AV101" s="59">
        <f t="shared" si="48"/>
        <v>0</v>
      </c>
      <c r="AW101" s="59">
        <f t="shared" si="49"/>
        <v>0.55755210970754798</v>
      </c>
      <c r="AX101" s="59">
        <f t="shared" si="50"/>
        <v>0.2074016387936406</v>
      </c>
      <c r="AY101" s="59">
        <f t="shared" si="51"/>
        <v>7.5375366637356889E-2</v>
      </c>
      <c r="AZ101" s="65">
        <f t="shared" si="52"/>
        <v>-1.5967088486145455E-2</v>
      </c>
    </row>
    <row r="102" spans="1:52" ht="38.25">
      <c r="A102" s="515" t="s">
        <v>181</v>
      </c>
      <c r="B102" s="495"/>
      <c r="C102" s="496"/>
      <c r="D102" s="496"/>
      <c r="E102" s="496"/>
      <c r="F102" s="496"/>
      <c r="G102" s="496"/>
      <c r="H102" s="496">
        <v>1793</v>
      </c>
      <c r="I102" s="496">
        <v>987939</v>
      </c>
      <c r="J102" s="496">
        <v>8900</v>
      </c>
      <c r="K102" s="496">
        <v>42853</v>
      </c>
      <c r="L102" s="497">
        <v>6030</v>
      </c>
      <c r="M102" s="463"/>
      <c r="O102" s="58">
        <f t="shared" si="29"/>
        <v>0</v>
      </c>
      <c r="P102" s="59">
        <f t="shared" si="30"/>
        <v>0</v>
      </c>
      <c r="Q102" s="59">
        <f t="shared" si="31"/>
        <v>0</v>
      </c>
      <c r="R102" s="59">
        <f t="shared" si="32"/>
        <v>0</v>
      </c>
      <c r="S102" s="59">
        <f t="shared" si="33"/>
        <v>0</v>
      </c>
      <c r="T102" s="59">
        <f t="shared" si="34"/>
        <v>0</v>
      </c>
      <c r="U102" s="59">
        <f t="shared" si="35"/>
        <v>3.8226451280121348E-5</v>
      </c>
      <c r="V102" s="59">
        <f t="shared" si="36"/>
        <v>7.8457037874781459E-3</v>
      </c>
      <c r="W102" s="59">
        <f t="shared" si="37"/>
        <v>1.3710368677359502E-4</v>
      </c>
      <c r="X102" s="59">
        <f t="shared" si="38"/>
        <v>4.217307845965018E-4</v>
      </c>
      <c r="Y102" s="60">
        <f t="shared" si="39"/>
        <v>3.8099750492126516E-5</v>
      </c>
      <c r="Z102" s="60">
        <f t="shared" si="40"/>
        <v>7.7098767823822643E-4</v>
      </c>
      <c r="AB102" s="68"/>
      <c r="AC102" s="59" t="str">
        <f t="shared" si="53"/>
        <v/>
      </c>
      <c r="AD102" s="59" t="str">
        <f t="shared" si="53"/>
        <v/>
      </c>
      <c r="AE102" s="59" t="str">
        <f t="shared" si="53"/>
        <v/>
      </c>
      <c r="AF102" s="59" t="str">
        <f t="shared" si="53"/>
        <v/>
      </c>
      <c r="AG102" s="59" t="str">
        <f t="shared" si="28"/>
        <v/>
      </c>
      <c r="AH102" s="59" t="str">
        <f t="shared" si="28"/>
        <v/>
      </c>
      <c r="AI102" s="59">
        <f t="shared" si="28"/>
        <v>549.99776910206356</v>
      </c>
      <c r="AJ102" s="59">
        <f t="shared" si="28"/>
        <v>-0.99099134663172528</v>
      </c>
      <c r="AK102" s="59">
        <f t="shared" si="54"/>
        <v>3.8149438202247188</v>
      </c>
      <c r="AL102" s="59">
        <f t="shared" si="54"/>
        <v>-0.8592863976851095</v>
      </c>
      <c r="AM102" s="65">
        <f t="shared" si="41"/>
        <v>137.99060879449286</v>
      </c>
      <c r="AO102" s="58"/>
      <c r="AP102" s="59">
        <f t="shared" si="42"/>
        <v>0</v>
      </c>
      <c r="AQ102" s="59">
        <f t="shared" si="43"/>
        <v>0</v>
      </c>
      <c r="AR102" s="59">
        <f t="shared" si="44"/>
        <v>0</v>
      </c>
      <c r="AS102" s="59">
        <f t="shared" si="45"/>
        <v>0</v>
      </c>
      <c r="AT102" s="59">
        <f t="shared" si="46"/>
        <v>0</v>
      </c>
      <c r="AU102" s="59">
        <f t="shared" si="47"/>
        <v>0</v>
      </c>
      <c r="AV102" s="59">
        <f t="shared" si="48"/>
        <v>526.37152479140843</v>
      </c>
      <c r="AW102" s="59">
        <f t="shared" si="49"/>
        <v>-0.99147634273036733</v>
      </c>
      <c r="AX102" s="59">
        <f t="shared" si="50"/>
        <v>3.4719455932244072</v>
      </c>
      <c r="AY102" s="59">
        <f t="shared" si="51"/>
        <v>-0.86204548792657798</v>
      </c>
      <c r="AZ102" s="65">
        <f t="shared" si="52"/>
        <v>52.798994855397588</v>
      </c>
    </row>
    <row r="103" spans="1:52" ht="51">
      <c r="A103" s="515" t="s">
        <v>183</v>
      </c>
      <c r="B103" s="495"/>
      <c r="C103" s="496">
        <v>4357</v>
      </c>
      <c r="D103" s="496">
        <v>218</v>
      </c>
      <c r="E103" s="496"/>
      <c r="F103" s="496"/>
      <c r="G103" s="496"/>
      <c r="H103" s="496"/>
      <c r="I103" s="496"/>
      <c r="J103" s="496">
        <v>12087</v>
      </c>
      <c r="K103" s="496"/>
      <c r="L103" s="497"/>
      <c r="M103" s="463"/>
      <c r="O103" s="58">
        <f t="shared" si="29"/>
        <v>0</v>
      </c>
      <c r="P103" s="59">
        <f t="shared" si="30"/>
        <v>2.1446478066952193E-4</v>
      </c>
      <c r="Q103" s="59">
        <f t="shared" si="31"/>
        <v>2.1719011976241792E-5</v>
      </c>
      <c r="R103" s="59">
        <f t="shared" si="32"/>
        <v>0</v>
      </c>
      <c r="S103" s="59">
        <f t="shared" si="33"/>
        <v>0</v>
      </c>
      <c r="T103" s="59">
        <f t="shared" si="34"/>
        <v>0</v>
      </c>
      <c r="U103" s="59">
        <f t="shared" si="35"/>
        <v>0</v>
      </c>
      <c r="V103" s="59">
        <f t="shared" si="36"/>
        <v>0</v>
      </c>
      <c r="W103" s="59">
        <f t="shared" si="37"/>
        <v>1.8619913056544302E-4</v>
      </c>
      <c r="X103" s="59">
        <f t="shared" si="38"/>
        <v>0</v>
      </c>
      <c r="Y103" s="60">
        <f t="shared" si="39"/>
        <v>0</v>
      </c>
      <c r="Z103" s="60">
        <f t="shared" si="40"/>
        <v>3.8398447564655158E-5</v>
      </c>
      <c r="AB103" s="68"/>
      <c r="AC103" s="59" t="str">
        <f t="shared" si="53"/>
        <v/>
      </c>
      <c r="AD103" s="59">
        <f t="shared" si="53"/>
        <v>-0.94996557264172599</v>
      </c>
      <c r="AE103" s="59">
        <f t="shared" si="53"/>
        <v>-1</v>
      </c>
      <c r="AF103" s="59" t="str">
        <f t="shared" si="53"/>
        <v/>
      </c>
      <c r="AG103" s="59" t="str">
        <f t="shared" si="28"/>
        <v/>
      </c>
      <c r="AH103" s="59" t="str">
        <f t="shared" si="28"/>
        <v/>
      </c>
      <c r="AI103" s="59" t="str">
        <f t="shared" si="28"/>
        <v/>
      </c>
      <c r="AJ103" s="59" t="str">
        <f t="shared" si="28"/>
        <v/>
      </c>
      <c r="AK103" s="59">
        <f t="shared" si="54"/>
        <v>-1</v>
      </c>
      <c r="AL103" s="59" t="str">
        <f t="shared" si="54"/>
        <v/>
      </c>
      <c r="AM103" s="65">
        <f t="shared" si="41"/>
        <v>-0.98332185754724188</v>
      </c>
      <c r="AO103" s="58"/>
      <c r="AP103" s="59">
        <f t="shared" si="42"/>
        <v>0</v>
      </c>
      <c r="AQ103" s="59">
        <f t="shared" si="43"/>
        <v>-0.95352120078190983</v>
      </c>
      <c r="AR103" s="59">
        <f t="shared" si="44"/>
        <v>-1</v>
      </c>
      <c r="AS103" s="59">
        <f t="shared" si="45"/>
        <v>0</v>
      </c>
      <c r="AT103" s="59">
        <f t="shared" si="46"/>
        <v>0</v>
      </c>
      <c r="AU103" s="59">
        <f t="shared" si="47"/>
        <v>0</v>
      </c>
      <c r="AV103" s="59">
        <f t="shared" si="48"/>
        <v>0</v>
      </c>
      <c r="AW103" s="59">
        <f t="shared" si="49"/>
        <v>0</v>
      </c>
      <c r="AX103" s="59">
        <f t="shared" si="50"/>
        <v>-1</v>
      </c>
      <c r="AY103" s="59">
        <f t="shared" si="51"/>
        <v>0</v>
      </c>
      <c r="AZ103" s="65">
        <f t="shared" si="52"/>
        <v>-0.29535212007819095</v>
      </c>
    </row>
    <row r="104" spans="1:52" ht="25.5">
      <c r="A104" s="515" t="s">
        <v>187</v>
      </c>
      <c r="B104" s="495"/>
      <c r="C104" s="496"/>
      <c r="D104" s="496"/>
      <c r="E104" s="496"/>
      <c r="F104" s="496">
        <v>381200</v>
      </c>
      <c r="G104" s="496"/>
      <c r="H104" s="496"/>
      <c r="I104" s="496"/>
      <c r="J104" s="496"/>
      <c r="K104" s="496"/>
      <c r="L104" s="497">
        <v>81642</v>
      </c>
      <c r="M104" s="463"/>
      <c r="O104" s="58">
        <f t="shared" si="29"/>
        <v>0</v>
      </c>
      <c r="P104" s="59">
        <f t="shared" si="30"/>
        <v>0</v>
      </c>
      <c r="Q104" s="59">
        <f t="shared" si="31"/>
        <v>0</v>
      </c>
      <c r="R104" s="59">
        <f t="shared" si="32"/>
        <v>0</v>
      </c>
      <c r="S104" s="59">
        <f t="shared" si="33"/>
        <v>1.6961673869816129E-2</v>
      </c>
      <c r="T104" s="59">
        <f t="shared" si="34"/>
        <v>0</v>
      </c>
      <c r="U104" s="59">
        <f t="shared" si="35"/>
        <v>0</v>
      </c>
      <c r="V104" s="59">
        <f t="shared" si="36"/>
        <v>0</v>
      </c>
      <c r="W104" s="59">
        <f t="shared" si="37"/>
        <v>0</v>
      </c>
      <c r="X104" s="59">
        <f t="shared" si="38"/>
        <v>0</v>
      </c>
      <c r="Y104" s="60">
        <f t="shared" si="39"/>
        <v>5.1584408452374673E-4</v>
      </c>
      <c r="Z104" s="60">
        <f t="shared" si="40"/>
        <v>1.5888652685763524E-3</v>
      </c>
      <c r="AB104" s="68"/>
      <c r="AC104" s="59" t="str">
        <f t="shared" si="53"/>
        <v/>
      </c>
      <c r="AD104" s="59" t="str">
        <f t="shared" si="53"/>
        <v/>
      </c>
      <c r="AE104" s="59" t="str">
        <f t="shared" si="53"/>
        <v/>
      </c>
      <c r="AF104" s="59" t="str">
        <f t="shared" si="53"/>
        <v/>
      </c>
      <c r="AG104" s="59">
        <f t="shared" si="28"/>
        <v>-1</v>
      </c>
      <c r="AH104" s="59" t="str">
        <f t="shared" si="28"/>
        <v/>
      </c>
      <c r="AI104" s="59" t="str">
        <f t="shared" si="28"/>
        <v/>
      </c>
      <c r="AJ104" s="59" t="str">
        <f t="shared" si="28"/>
        <v/>
      </c>
      <c r="AK104" s="59" t="str">
        <f t="shared" si="54"/>
        <v/>
      </c>
      <c r="AL104" s="59" t="str">
        <f t="shared" si="54"/>
        <v/>
      </c>
      <c r="AM104" s="65">
        <f t="shared" si="41"/>
        <v>-1</v>
      </c>
      <c r="AO104" s="58"/>
      <c r="AP104" s="59">
        <f t="shared" si="42"/>
        <v>0</v>
      </c>
      <c r="AQ104" s="59">
        <f t="shared" si="43"/>
        <v>0</v>
      </c>
      <c r="AR104" s="59">
        <f t="shared" si="44"/>
        <v>0</v>
      </c>
      <c r="AS104" s="59">
        <f t="shared" si="45"/>
        <v>0</v>
      </c>
      <c r="AT104" s="59">
        <f t="shared" si="46"/>
        <v>-1</v>
      </c>
      <c r="AU104" s="59">
        <f t="shared" si="47"/>
        <v>0</v>
      </c>
      <c r="AV104" s="59">
        <f t="shared" si="48"/>
        <v>0</v>
      </c>
      <c r="AW104" s="59">
        <f t="shared" si="49"/>
        <v>0</v>
      </c>
      <c r="AX104" s="59">
        <f t="shared" si="50"/>
        <v>0</v>
      </c>
      <c r="AY104" s="59">
        <f t="shared" si="51"/>
        <v>0</v>
      </c>
      <c r="AZ104" s="65">
        <f t="shared" si="52"/>
        <v>-0.1</v>
      </c>
    </row>
    <row r="105" spans="1:52" ht="38.25">
      <c r="A105" s="515" t="s">
        <v>44</v>
      </c>
      <c r="B105" s="495">
        <v>2732067</v>
      </c>
      <c r="C105" s="496">
        <v>2518601</v>
      </c>
      <c r="D105" s="496">
        <v>191103</v>
      </c>
      <c r="E105" s="496">
        <v>272834</v>
      </c>
      <c r="F105" s="496">
        <v>728865</v>
      </c>
      <c r="G105" s="496">
        <v>957213</v>
      </c>
      <c r="H105" s="496">
        <v>3002474</v>
      </c>
      <c r="I105" s="496">
        <v>5429273</v>
      </c>
      <c r="J105" s="496">
        <v>3295952</v>
      </c>
      <c r="K105" s="496">
        <v>7546295</v>
      </c>
      <c r="L105" s="497">
        <v>7911452</v>
      </c>
      <c r="M105" s="463"/>
      <c r="O105" s="58">
        <f t="shared" si="29"/>
        <v>6.8310353830454154E-2</v>
      </c>
      <c r="P105" s="59">
        <f t="shared" si="30"/>
        <v>0.12397319510191385</v>
      </c>
      <c r="Q105" s="59">
        <f t="shared" si="31"/>
        <v>1.9039304338053831E-2</v>
      </c>
      <c r="R105" s="59">
        <f t="shared" si="32"/>
        <v>1.7503986023192201E-2</v>
      </c>
      <c r="S105" s="59">
        <f t="shared" si="33"/>
        <v>3.2431192091090064E-2</v>
      </c>
      <c r="T105" s="59">
        <f t="shared" si="34"/>
        <v>3.8999204055471012E-2</v>
      </c>
      <c r="U105" s="59">
        <f t="shared" si="35"/>
        <v>6.4012228712119937E-2</v>
      </c>
      <c r="V105" s="59">
        <f t="shared" si="36"/>
        <v>4.3116495795137995E-2</v>
      </c>
      <c r="W105" s="59">
        <f t="shared" si="37"/>
        <v>5.0773839396494838E-2</v>
      </c>
      <c r="X105" s="59">
        <f t="shared" si="38"/>
        <v>7.4265626937359316E-2</v>
      </c>
      <c r="Y105" s="60">
        <f t="shared" si="39"/>
        <v>4.9987453935395575E-2</v>
      </c>
      <c r="Z105" s="60">
        <f t="shared" si="40"/>
        <v>5.2946625474243891E-2</v>
      </c>
      <c r="AB105" s="68"/>
      <c r="AC105" s="59">
        <f t="shared" si="53"/>
        <v>-7.8133515759313377E-2</v>
      </c>
      <c r="AD105" s="59">
        <f t="shared" si="53"/>
        <v>-0.92412335260726097</v>
      </c>
      <c r="AE105" s="59">
        <f t="shared" si="53"/>
        <v>0.42768036085252459</v>
      </c>
      <c r="AF105" s="59">
        <f t="shared" si="53"/>
        <v>1.6714595688220677</v>
      </c>
      <c r="AG105" s="59">
        <f t="shared" si="28"/>
        <v>0.3132925850466135</v>
      </c>
      <c r="AH105" s="59">
        <f t="shared" si="28"/>
        <v>2.1366832669426761</v>
      </c>
      <c r="AI105" s="59">
        <f t="shared" si="28"/>
        <v>0.80826644960122884</v>
      </c>
      <c r="AJ105" s="59">
        <f t="shared" si="28"/>
        <v>-0.39292940325527925</v>
      </c>
      <c r="AK105" s="59">
        <f t="shared" si="54"/>
        <v>1.289564593173687</v>
      </c>
      <c r="AL105" s="59">
        <f t="shared" si="54"/>
        <v>4.8388911379690258E-2</v>
      </c>
      <c r="AM105" s="65">
        <f t="shared" si="41"/>
        <v>0.53001494641966329</v>
      </c>
      <c r="AO105" s="58"/>
      <c r="AP105" s="59">
        <f t="shared" si="42"/>
        <v>-0.15230668115798929</v>
      </c>
      <c r="AQ105" s="59">
        <f t="shared" si="43"/>
        <v>-0.92951542276568599</v>
      </c>
      <c r="AR105" s="59">
        <f t="shared" si="44"/>
        <v>0.33440542186421585</v>
      </c>
      <c r="AS105" s="59">
        <f t="shared" si="45"/>
        <v>1.5086482945084683</v>
      </c>
      <c r="AT105" s="59">
        <f t="shared" si="46"/>
        <v>0.24485632651716305</v>
      </c>
      <c r="AU105" s="59">
        <f t="shared" si="47"/>
        <v>1.9915175419927746</v>
      </c>
      <c r="AV105" s="59">
        <f t="shared" si="48"/>
        <v>0.73072975650959893</v>
      </c>
      <c r="AW105" s="59">
        <f t="shared" si="49"/>
        <v>-0.42561207612383312</v>
      </c>
      <c r="AX105" s="59">
        <f t="shared" si="50"/>
        <v>1.1264647470731743</v>
      </c>
      <c r="AY105" s="59">
        <f t="shared" si="51"/>
        <v>2.7832266058519739E-2</v>
      </c>
      <c r="AZ105" s="65">
        <f t="shared" si="52"/>
        <v>0.44570201744764065</v>
      </c>
    </row>
    <row r="106" spans="1:52" ht="38.25">
      <c r="A106" s="515" t="s">
        <v>45</v>
      </c>
      <c r="B106" s="495">
        <v>29188761</v>
      </c>
      <c r="C106" s="496">
        <v>13538962</v>
      </c>
      <c r="D106" s="496">
        <v>7541342</v>
      </c>
      <c r="E106" s="496">
        <v>10329035</v>
      </c>
      <c r="F106" s="496">
        <v>14099812</v>
      </c>
      <c r="G106" s="496">
        <v>16445185</v>
      </c>
      <c r="H106" s="496">
        <v>28039697</v>
      </c>
      <c r="I106" s="496">
        <v>61185481</v>
      </c>
      <c r="J106" s="496">
        <v>30995590</v>
      </c>
      <c r="K106" s="496">
        <v>47918381</v>
      </c>
      <c r="L106" s="497">
        <v>92823999</v>
      </c>
      <c r="M106" s="463"/>
      <c r="O106" s="58">
        <f t="shared" si="29"/>
        <v>0.72981174758253031</v>
      </c>
      <c r="P106" s="59">
        <f t="shared" si="30"/>
        <v>0.6664288537578591</v>
      </c>
      <c r="Q106" s="59">
        <f t="shared" si="31"/>
        <v>0.75133255603181293</v>
      </c>
      <c r="R106" s="59">
        <f t="shared" si="32"/>
        <v>0.6626713835997825</v>
      </c>
      <c r="S106" s="59">
        <f t="shared" si="33"/>
        <v>0.62737778795834176</v>
      </c>
      <c r="T106" s="59">
        <f t="shared" si="34"/>
        <v>0.67001714931260969</v>
      </c>
      <c r="U106" s="59">
        <f t="shared" si="35"/>
        <v>0.59780151214716382</v>
      </c>
      <c r="V106" s="59">
        <f t="shared" si="36"/>
        <v>0.48590364386907708</v>
      </c>
      <c r="W106" s="59">
        <f t="shared" si="37"/>
        <v>0.47748423176660382</v>
      </c>
      <c r="X106" s="59">
        <f t="shared" si="38"/>
        <v>0.47158090252080614</v>
      </c>
      <c r="Y106" s="60">
        <f t="shared" si="39"/>
        <v>0.58649605333024901</v>
      </c>
      <c r="Z106" s="60">
        <f t="shared" si="40"/>
        <v>0.61153689289789415</v>
      </c>
      <c r="AB106" s="68"/>
      <c r="AC106" s="59">
        <f t="shared" si="53"/>
        <v>-0.53615838644195968</v>
      </c>
      <c r="AD106" s="59">
        <f t="shared" si="53"/>
        <v>-0.44298964721224565</v>
      </c>
      <c r="AE106" s="59">
        <f t="shared" si="53"/>
        <v>0.36965476436422051</v>
      </c>
      <c r="AF106" s="59">
        <f t="shared" si="53"/>
        <v>0.36506575880515468</v>
      </c>
      <c r="AG106" s="59">
        <f t="shared" si="28"/>
        <v>0.16634072851467807</v>
      </c>
      <c r="AH106" s="59">
        <f t="shared" si="28"/>
        <v>0.70503992506013158</v>
      </c>
      <c r="AI106" s="59">
        <f t="shared" si="28"/>
        <v>1.1821020747834758</v>
      </c>
      <c r="AJ106" s="59">
        <f t="shared" si="28"/>
        <v>-0.4934159298347266</v>
      </c>
      <c r="AK106" s="59">
        <f t="shared" si="54"/>
        <v>0.54597415309726327</v>
      </c>
      <c r="AL106" s="59">
        <f t="shared" si="54"/>
        <v>0.93712719551188517</v>
      </c>
      <c r="AM106" s="65">
        <f t="shared" si="41"/>
        <v>0.27987406366478773</v>
      </c>
      <c r="AO106" s="58"/>
      <c r="AP106" s="59">
        <f t="shared" si="42"/>
        <v>-0.57347897603858355</v>
      </c>
      <c r="AQ106" s="59">
        <f t="shared" si="43"/>
        <v>-0.48257282602159379</v>
      </c>
      <c r="AR106" s="59">
        <f t="shared" si="44"/>
        <v>0.28017082378186786</v>
      </c>
      <c r="AS106" s="59">
        <f t="shared" si="45"/>
        <v>0.28187224979355308</v>
      </c>
      <c r="AT106" s="59">
        <f t="shared" si="46"/>
        <v>0.10556219634377961</v>
      </c>
      <c r="AU106" s="59">
        <f t="shared" si="47"/>
        <v>0.6261306646325937</v>
      </c>
      <c r="AV106" s="59">
        <f t="shared" si="48"/>
        <v>1.0885356764772931</v>
      </c>
      <c r="AW106" s="59">
        <f t="shared" si="49"/>
        <v>-0.5206887405002617</v>
      </c>
      <c r="AX106" s="59">
        <f t="shared" si="50"/>
        <v>0.43584485288126995</v>
      </c>
      <c r="AY106" s="59">
        <f t="shared" si="51"/>
        <v>0.89914430932537748</v>
      </c>
      <c r="AZ106" s="65">
        <f t="shared" si="52"/>
        <v>0.21405202306752957</v>
      </c>
    </row>
    <row r="107" spans="1:52" ht="51">
      <c r="A107" s="515" t="s">
        <v>193</v>
      </c>
      <c r="B107" s="495">
        <v>2295546</v>
      </c>
      <c r="C107" s="496">
        <v>417227</v>
      </c>
      <c r="D107" s="496">
        <v>351379</v>
      </c>
      <c r="E107" s="496">
        <v>1412591</v>
      </c>
      <c r="F107" s="496">
        <v>1863569</v>
      </c>
      <c r="G107" s="496">
        <v>1620832</v>
      </c>
      <c r="H107" s="496">
        <v>1203748</v>
      </c>
      <c r="I107" s="496">
        <v>16088169</v>
      </c>
      <c r="J107" s="496">
        <v>2439946</v>
      </c>
      <c r="K107" s="496">
        <v>2711538</v>
      </c>
      <c r="L107" s="497">
        <v>7003087</v>
      </c>
      <c r="M107" s="463"/>
      <c r="O107" s="58">
        <f t="shared" si="29"/>
        <v>5.7395942154450721E-2</v>
      </c>
      <c r="P107" s="59">
        <f t="shared" si="30"/>
        <v>2.0537180868579901E-2</v>
      </c>
      <c r="Q107" s="59">
        <f t="shared" si="31"/>
        <v>3.5007361051375523E-2</v>
      </c>
      <c r="R107" s="59">
        <f t="shared" si="32"/>
        <v>9.0626436296382035E-2</v>
      </c>
      <c r="S107" s="59">
        <f t="shared" si="33"/>
        <v>8.2920381982946934E-2</v>
      </c>
      <c r="T107" s="59">
        <f t="shared" si="34"/>
        <v>6.6036668858067318E-2</v>
      </c>
      <c r="U107" s="59">
        <f t="shared" si="35"/>
        <v>2.5663700097904914E-2</v>
      </c>
      <c r="V107" s="59">
        <f t="shared" si="36"/>
        <v>0.12776396969538453</v>
      </c>
      <c r="W107" s="59">
        <f t="shared" si="37"/>
        <v>3.7587145182975963E-2</v>
      </c>
      <c r="X107" s="59">
        <f t="shared" si="38"/>
        <v>2.6685157356619825E-2</v>
      </c>
      <c r="Y107" s="60">
        <f t="shared" si="39"/>
        <v>4.4248070874735458E-2</v>
      </c>
      <c r="Z107" s="60">
        <f t="shared" si="40"/>
        <v>5.5861092219947554E-2</v>
      </c>
      <c r="AB107" s="68"/>
      <c r="AC107" s="59">
        <f t="shared" si="53"/>
        <v>-0.81824498398202428</v>
      </c>
      <c r="AD107" s="59">
        <f t="shared" si="53"/>
        <v>-0.15782295968381721</v>
      </c>
      <c r="AE107" s="59">
        <f t="shared" si="53"/>
        <v>3.0201349539955435</v>
      </c>
      <c r="AF107" s="59">
        <f t="shared" si="53"/>
        <v>0.31925589218676875</v>
      </c>
      <c r="AG107" s="59">
        <f t="shared" si="28"/>
        <v>-0.13025383015064107</v>
      </c>
      <c r="AH107" s="59">
        <f t="shared" si="28"/>
        <v>-0.25732710114311663</v>
      </c>
      <c r="AI107" s="59">
        <f t="shared" si="28"/>
        <v>12.365063950262014</v>
      </c>
      <c r="AJ107" s="59">
        <f t="shared" si="28"/>
        <v>-0.84833911180321386</v>
      </c>
      <c r="AK107" s="59">
        <f t="shared" si="54"/>
        <v>0.11131066015395419</v>
      </c>
      <c r="AL107" s="59">
        <f t="shared" si="54"/>
        <v>1.5826991913814226</v>
      </c>
      <c r="AM107" s="65">
        <f t="shared" si="41"/>
        <v>1.518647666121689</v>
      </c>
      <c r="AO107" s="58"/>
      <c r="AP107" s="59">
        <f t="shared" si="42"/>
        <v>-0.83286895078806822</v>
      </c>
      <c r="AQ107" s="59">
        <f t="shared" si="43"/>
        <v>-0.21767111907460956</v>
      </c>
      <c r="AR107" s="59">
        <f t="shared" si="44"/>
        <v>2.7574866379993863</v>
      </c>
      <c r="AS107" s="59">
        <f t="shared" si="45"/>
        <v>0.23885425127877613</v>
      </c>
      <c r="AT107" s="59">
        <f t="shared" si="46"/>
        <v>-0.17557668844782492</v>
      </c>
      <c r="AU107" s="59">
        <f t="shared" si="47"/>
        <v>-0.29169800843216764</v>
      </c>
      <c r="AV107" s="59">
        <f t="shared" si="48"/>
        <v>11.791983107065482</v>
      </c>
      <c r="AW107" s="59">
        <f t="shared" si="49"/>
        <v>-0.85650403236182593</v>
      </c>
      <c r="AX107" s="59">
        <f t="shared" si="50"/>
        <v>3.2145128776775556E-2</v>
      </c>
      <c r="AY107" s="59">
        <f t="shared" si="51"/>
        <v>1.5320580307661005</v>
      </c>
      <c r="AZ107" s="65">
        <f t="shared" si="52"/>
        <v>1.3978208356782023</v>
      </c>
    </row>
    <row r="108" spans="1:52" ht="51">
      <c r="A108" s="515" t="s">
        <v>195</v>
      </c>
      <c r="B108" s="495"/>
      <c r="C108" s="496"/>
      <c r="D108" s="496"/>
      <c r="E108" s="496"/>
      <c r="F108" s="496"/>
      <c r="G108" s="496"/>
      <c r="H108" s="496"/>
      <c r="I108" s="496"/>
      <c r="J108" s="496">
        <v>545864</v>
      </c>
      <c r="K108" s="496">
        <v>531081</v>
      </c>
      <c r="L108" s="497"/>
      <c r="M108" s="463"/>
      <c r="O108" s="58">
        <f t="shared" si="29"/>
        <v>0</v>
      </c>
      <c r="P108" s="59">
        <f t="shared" si="30"/>
        <v>0</v>
      </c>
      <c r="Q108" s="59">
        <f t="shared" si="31"/>
        <v>0</v>
      </c>
      <c r="R108" s="59">
        <f t="shared" si="32"/>
        <v>0</v>
      </c>
      <c r="S108" s="59">
        <f t="shared" si="33"/>
        <v>0</v>
      </c>
      <c r="T108" s="59">
        <f t="shared" si="34"/>
        <v>0</v>
      </c>
      <c r="U108" s="59">
        <f t="shared" si="35"/>
        <v>0</v>
      </c>
      <c r="V108" s="59">
        <f t="shared" si="36"/>
        <v>0</v>
      </c>
      <c r="W108" s="59">
        <f t="shared" si="37"/>
        <v>8.4089850423574915E-3</v>
      </c>
      <c r="X108" s="59">
        <f t="shared" si="38"/>
        <v>5.2265467251836461E-3</v>
      </c>
      <c r="Y108" s="60">
        <f t="shared" si="39"/>
        <v>0</v>
      </c>
      <c r="Z108" s="60">
        <f t="shared" si="40"/>
        <v>1.2395937970491944E-3</v>
      </c>
      <c r="AB108" s="68"/>
      <c r="AC108" s="59" t="str">
        <f t="shared" si="53"/>
        <v/>
      </c>
      <c r="AD108" s="59" t="str">
        <f t="shared" si="53"/>
        <v/>
      </c>
      <c r="AE108" s="59" t="str">
        <f t="shared" si="53"/>
        <v/>
      </c>
      <c r="AF108" s="59" t="str">
        <f t="shared" si="53"/>
        <v/>
      </c>
      <c r="AG108" s="59" t="str">
        <f t="shared" si="28"/>
        <v/>
      </c>
      <c r="AH108" s="59" t="str">
        <f t="shared" si="28"/>
        <v/>
      </c>
      <c r="AI108" s="59" t="str">
        <f t="shared" si="28"/>
        <v/>
      </c>
      <c r="AJ108" s="59" t="str">
        <f t="shared" si="28"/>
        <v/>
      </c>
      <c r="AK108" s="59">
        <f t="shared" si="54"/>
        <v>-2.7081837234182893E-2</v>
      </c>
      <c r="AL108" s="59">
        <f t="shared" si="54"/>
        <v>-1</v>
      </c>
      <c r="AM108" s="65">
        <f t="shared" si="41"/>
        <v>-0.51354091861709139</v>
      </c>
      <c r="AO108" s="58"/>
      <c r="AP108" s="59">
        <f t="shared" si="42"/>
        <v>0</v>
      </c>
      <c r="AQ108" s="59">
        <f t="shared" si="43"/>
        <v>0</v>
      </c>
      <c r="AR108" s="59">
        <f t="shared" si="44"/>
        <v>0</v>
      </c>
      <c r="AS108" s="59">
        <f t="shared" si="45"/>
        <v>0</v>
      </c>
      <c r="AT108" s="59">
        <f t="shared" si="46"/>
        <v>0</v>
      </c>
      <c r="AU108" s="59">
        <f t="shared" si="47"/>
        <v>0</v>
      </c>
      <c r="AV108" s="59">
        <f t="shared" si="48"/>
        <v>0</v>
      </c>
      <c r="AW108" s="59">
        <f t="shared" si="49"/>
        <v>0</v>
      </c>
      <c r="AX108" s="59">
        <f t="shared" si="50"/>
        <v>-9.6388815114872184E-2</v>
      </c>
      <c r="AY108" s="59">
        <f t="shared" si="51"/>
        <v>-1</v>
      </c>
      <c r="AZ108" s="65">
        <f t="shared" si="52"/>
        <v>-0.10963888151148722</v>
      </c>
    </row>
    <row r="109" spans="1:52" ht="38.25">
      <c r="A109" s="515" t="s">
        <v>198</v>
      </c>
      <c r="B109" s="495"/>
      <c r="C109" s="496"/>
      <c r="D109" s="496"/>
      <c r="E109" s="496"/>
      <c r="F109" s="496"/>
      <c r="G109" s="496"/>
      <c r="H109" s="496"/>
      <c r="I109" s="496"/>
      <c r="J109" s="496">
        <v>1282</v>
      </c>
      <c r="K109" s="496"/>
      <c r="L109" s="497"/>
      <c r="M109" s="463"/>
      <c r="O109" s="58">
        <f t="shared" si="29"/>
        <v>0</v>
      </c>
      <c r="P109" s="59">
        <f t="shared" si="30"/>
        <v>0</v>
      </c>
      <c r="Q109" s="59">
        <f t="shared" si="31"/>
        <v>0</v>
      </c>
      <c r="R109" s="59">
        <f t="shared" si="32"/>
        <v>0</v>
      </c>
      <c r="S109" s="59">
        <f t="shared" si="33"/>
        <v>0</v>
      </c>
      <c r="T109" s="59">
        <f t="shared" si="34"/>
        <v>0</v>
      </c>
      <c r="U109" s="59">
        <f t="shared" si="35"/>
        <v>0</v>
      </c>
      <c r="V109" s="59">
        <f t="shared" si="36"/>
        <v>0</v>
      </c>
      <c r="W109" s="59">
        <f t="shared" si="37"/>
        <v>1.9749092858848181E-5</v>
      </c>
      <c r="X109" s="59">
        <f t="shared" si="38"/>
        <v>0</v>
      </c>
      <c r="Y109" s="60">
        <f t="shared" si="39"/>
        <v>0</v>
      </c>
      <c r="Z109" s="60">
        <f t="shared" si="40"/>
        <v>1.7953720780771075E-6</v>
      </c>
      <c r="AB109" s="68"/>
      <c r="AC109" s="59" t="str">
        <f t="shared" si="53"/>
        <v/>
      </c>
      <c r="AD109" s="59" t="str">
        <f t="shared" si="53"/>
        <v/>
      </c>
      <c r="AE109" s="59" t="str">
        <f t="shared" si="53"/>
        <v/>
      </c>
      <c r="AF109" s="59" t="str">
        <f t="shared" si="53"/>
        <v/>
      </c>
      <c r="AG109" s="59" t="str">
        <f t="shared" si="28"/>
        <v/>
      </c>
      <c r="AH109" s="59" t="str">
        <f t="shared" si="28"/>
        <v/>
      </c>
      <c r="AI109" s="59" t="str">
        <f t="shared" si="28"/>
        <v/>
      </c>
      <c r="AJ109" s="59" t="str">
        <f t="shared" si="28"/>
        <v/>
      </c>
      <c r="AK109" s="59">
        <f t="shared" si="54"/>
        <v>-1</v>
      </c>
      <c r="AL109" s="59" t="str">
        <f t="shared" si="54"/>
        <v/>
      </c>
      <c r="AM109" s="65">
        <f t="shared" si="41"/>
        <v>-1</v>
      </c>
      <c r="AO109" s="58"/>
      <c r="AP109" s="59">
        <f t="shared" si="42"/>
        <v>0</v>
      </c>
      <c r="AQ109" s="59">
        <f t="shared" si="43"/>
        <v>0</v>
      </c>
      <c r="AR109" s="59">
        <f t="shared" si="44"/>
        <v>0</v>
      </c>
      <c r="AS109" s="59">
        <f t="shared" si="45"/>
        <v>0</v>
      </c>
      <c r="AT109" s="59">
        <f t="shared" si="46"/>
        <v>0</v>
      </c>
      <c r="AU109" s="59">
        <f t="shared" si="47"/>
        <v>0</v>
      </c>
      <c r="AV109" s="59">
        <f t="shared" si="48"/>
        <v>0</v>
      </c>
      <c r="AW109" s="59">
        <f t="shared" si="49"/>
        <v>0</v>
      </c>
      <c r="AX109" s="59">
        <f t="shared" si="50"/>
        <v>-1</v>
      </c>
      <c r="AY109" s="59">
        <f t="shared" si="51"/>
        <v>0</v>
      </c>
      <c r="AZ109" s="65">
        <f t="shared" si="52"/>
        <v>-0.1</v>
      </c>
    </row>
    <row r="110" spans="1:52" ht="38.25">
      <c r="A110" s="515" t="s">
        <v>200</v>
      </c>
      <c r="B110" s="495">
        <v>1519067</v>
      </c>
      <c r="C110" s="496"/>
      <c r="D110" s="496"/>
      <c r="E110" s="496"/>
      <c r="F110" s="496">
        <v>68609</v>
      </c>
      <c r="G110" s="496">
        <v>67118</v>
      </c>
      <c r="H110" s="496">
        <v>985700</v>
      </c>
      <c r="I110" s="496">
        <v>1807515</v>
      </c>
      <c r="J110" s="496">
        <v>1345275</v>
      </c>
      <c r="K110" s="496">
        <v>980756</v>
      </c>
      <c r="L110" s="497">
        <v>947242</v>
      </c>
      <c r="M110" s="463"/>
      <c r="O110" s="58">
        <f t="shared" si="29"/>
        <v>3.7981500549644831E-2</v>
      </c>
      <c r="P110" s="59">
        <f t="shared" si="30"/>
        <v>0</v>
      </c>
      <c r="Q110" s="59">
        <f t="shared" si="31"/>
        <v>0</v>
      </c>
      <c r="R110" s="59">
        <f t="shared" si="32"/>
        <v>0</v>
      </c>
      <c r="S110" s="59">
        <f t="shared" si="33"/>
        <v>3.052789828263942E-3</v>
      </c>
      <c r="T110" s="59">
        <f t="shared" si="34"/>
        <v>2.7345518477027613E-3</v>
      </c>
      <c r="U110" s="59">
        <f t="shared" si="35"/>
        <v>2.1014954281548027E-2</v>
      </c>
      <c r="V110" s="59">
        <f t="shared" si="36"/>
        <v>1.4354355158996215E-2</v>
      </c>
      <c r="W110" s="59">
        <f t="shared" si="37"/>
        <v>2.0723838452173935E-2</v>
      </c>
      <c r="X110" s="59">
        <f t="shared" si="38"/>
        <v>9.6519496272775944E-3</v>
      </c>
      <c r="Y110" s="60">
        <f t="shared" si="39"/>
        <v>5.9850221982857225E-3</v>
      </c>
      <c r="Z110" s="60">
        <f t="shared" si="40"/>
        <v>1.0499905631263004E-2</v>
      </c>
      <c r="AB110" s="68"/>
      <c r="AC110" s="59">
        <f t="shared" si="53"/>
        <v>-1</v>
      </c>
      <c r="AD110" s="59" t="str">
        <f t="shared" si="53"/>
        <v/>
      </c>
      <c r="AE110" s="59" t="str">
        <f t="shared" si="53"/>
        <v/>
      </c>
      <c r="AF110" s="59" t="str">
        <f t="shared" si="53"/>
        <v/>
      </c>
      <c r="AG110" s="59">
        <f t="shared" si="28"/>
        <v>-2.1731842761153808E-2</v>
      </c>
      <c r="AH110" s="59">
        <f t="shared" si="28"/>
        <v>13.686075270419261</v>
      </c>
      <c r="AI110" s="59">
        <f t="shared" si="28"/>
        <v>0.83373744547022421</v>
      </c>
      <c r="AJ110" s="59">
        <f t="shared" si="28"/>
        <v>-0.25573231757412807</v>
      </c>
      <c r="AK110" s="59">
        <f t="shared" si="54"/>
        <v>-0.27096244262325542</v>
      </c>
      <c r="AL110" s="59">
        <f t="shared" si="54"/>
        <v>-3.417159823646243E-2</v>
      </c>
      <c r="AM110" s="65">
        <f t="shared" si="41"/>
        <v>1.8481735020992118</v>
      </c>
      <c r="AO110" s="58"/>
      <c r="AP110" s="59">
        <f t="shared" si="42"/>
        <v>-1</v>
      </c>
      <c r="AQ110" s="59">
        <f t="shared" si="43"/>
        <v>0</v>
      </c>
      <c r="AR110" s="59">
        <f t="shared" si="44"/>
        <v>0</v>
      </c>
      <c r="AS110" s="59">
        <f t="shared" si="45"/>
        <v>0</v>
      </c>
      <c r="AT110" s="59">
        <f t="shared" si="46"/>
        <v>-7.2709829907521839E-2</v>
      </c>
      <c r="AU110" s="59">
        <f t="shared" si="47"/>
        <v>13.006403597551502</v>
      </c>
      <c r="AV110" s="59">
        <f t="shared" si="48"/>
        <v>0.75510858103964806</v>
      </c>
      <c r="AW110" s="59">
        <f t="shared" si="49"/>
        <v>-0.2958012277170291</v>
      </c>
      <c r="AX110" s="59">
        <f t="shared" si="50"/>
        <v>-0.32289629666876141</v>
      </c>
      <c r="AY110" s="59">
        <f t="shared" si="51"/>
        <v>-5.310941003574754E-2</v>
      </c>
      <c r="AZ110" s="65">
        <f t="shared" si="52"/>
        <v>1.2016995414262093</v>
      </c>
    </row>
    <row r="111" spans="1:52" ht="38.25">
      <c r="A111" s="515" t="s">
        <v>203</v>
      </c>
      <c r="B111" s="495">
        <v>246025</v>
      </c>
      <c r="C111" s="496">
        <v>199436</v>
      </c>
      <c r="D111" s="496">
        <v>199086</v>
      </c>
      <c r="E111" s="496">
        <v>198828</v>
      </c>
      <c r="F111" s="496">
        <v>182628</v>
      </c>
      <c r="G111" s="496">
        <v>182628</v>
      </c>
      <c r="H111" s="496">
        <v>182628</v>
      </c>
      <c r="I111" s="496">
        <v>3046447</v>
      </c>
      <c r="J111" s="496"/>
      <c r="K111" s="496">
        <v>151300</v>
      </c>
      <c r="L111" s="497">
        <v>305232</v>
      </c>
      <c r="M111" s="463"/>
      <c r="O111" s="58">
        <f t="shared" si="29"/>
        <v>6.1514065362004242E-3</v>
      </c>
      <c r="P111" s="59">
        <f t="shared" si="30"/>
        <v>9.8168459944013714E-3</v>
      </c>
      <c r="Q111" s="59">
        <f t="shared" si="31"/>
        <v>1.9834638616064555E-2</v>
      </c>
      <c r="R111" s="59">
        <f t="shared" si="32"/>
        <v>1.2756044089150395E-2</v>
      </c>
      <c r="S111" s="59">
        <f t="shared" si="33"/>
        <v>8.1261190333073961E-3</v>
      </c>
      <c r="T111" s="59">
        <f t="shared" si="34"/>
        <v>7.4407123996880105E-3</v>
      </c>
      <c r="U111" s="59">
        <f t="shared" si="35"/>
        <v>3.8935975149949811E-3</v>
      </c>
      <c r="V111" s="59">
        <f t="shared" si="36"/>
        <v>2.419331635480676E-2</v>
      </c>
      <c r="W111" s="59">
        <f t="shared" si="37"/>
        <v>0</v>
      </c>
      <c r="X111" s="59">
        <f t="shared" si="38"/>
        <v>1.488994182658174E-3</v>
      </c>
      <c r="Y111" s="60">
        <f t="shared" si="39"/>
        <v>1.9285676686920002E-3</v>
      </c>
      <c r="Z111" s="60">
        <f t="shared" si="40"/>
        <v>8.6936583990876413E-3</v>
      </c>
      <c r="AB111" s="68"/>
      <c r="AC111" s="59">
        <f t="shared" si="53"/>
        <v>-0.1893669342546489</v>
      </c>
      <c r="AD111" s="59">
        <f t="shared" si="53"/>
        <v>-1.7549489560561016E-3</v>
      </c>
      <c r="AE111" s="59">
        <f t="shared" si="53"/>
        <v>-1.2959223652090346E-3</v>
      </c>
      <c r="AF111" s="59">
        <f t="shared" si="53"/>
        <v>-8.1477457903313399E-2</v>
      </c>
      <c r="AG111" s="59">
        <f t="shared" si="28"/>
        <v>0</v>
      </c>
      <c r="AH111" s="59">
        <f t="shared" si="28"/>
        <v>0</v>
      </c>
      <c r="AI111" s="59">
        <f t="shared" si="28"/>
        <v>15.681160610640209</v>
      </c>
      <c r="AJ111" s="59">
        <f t="shared" si="28"/>
        <v>-1</v>
      </c>
      <c r="AK111" s="59" t="str">
        <f t="shared" si="54"/>
        <v/>
      </c>
      <c r="AL111" s="59">
        <f t="shared" si="54"/>
        <v>1.017395902181097</v>
      </c>
      <c r="AM111" s="65">
        <f t="shared" si="41"/>
        <v>1.7138512499268976</v>
      </c>
      <c r="AO111" s="58"/>
      <c r="AP111" s="59">
        <f t="shared" si="42"/>
        <v>-0.25459028437209086</v>
      </c>
      <c r="AQ111" s="59">
        <f t="shared" si="43"/>
        <v>-7.2693868050214716E-2</v>
      </c>
      <c r="AR111" s="59">
        <f t="shared" si="44"/>
        <v>-6.6544464309943985E-2</v>
      </c>
      <c r="AS111" s="59">
        <f t="shared" si="45"/>
        <v>-0.13745652916077877</v>
      </c>
      <c r="AT111" s="59">
        <f t="shared" si="46"/>
        <v>-5.2110443102076465E-2</v>
      </c>
      <c r="AU111" s="59">
        <f t="shared" si="47"/>
        <v>-4.6280007446016236E-2</v>
      </c>
      <c r="AV111" s="59">
        <f t="shared" si="48"/>
        <v>14.965888792726082</v>
      </c>
      <c r="AW111" s="59">
        <f t="shared" si="49"/>
        <v>-1</v>
      </c>
      <c r="AX111" s="59">
        <f t="shared" si="50"/>
        <v>0</v>
      </c>
      <c r="AY111" s="59">
        <f t="shared" si="51"/>
        <v>0.97783911978538907</v>
      </c>
      <c r="AZ111" s="65">
        <f t="shared" si="52"/>
        <v>1.4314052316070349</v>
      </c>
    </row>
    <row r="112" spans="1:52" ht="51">
      <c r="A112" s="515" t="s">
        <v>204</v>
      </c>
      <c r="B112" s="495">
        <v>1765092</v>
      </c>
      <c r="C112" s="496">
        <v>199436</v>
      </c>
      <c r="D112" s="496">
        <v>199086</v>
      </c>
      <c r="E112" s="496">
        <v>198828</v>
      </c>
      <c r="F112" s="496">
        <v>251237</v>
      </c>
      <c r="G112" s="496">
        <v>249746</v>
      </c>
      <c r="H112" s="496">
        <v>1168328</v>
      </c>
      <c r="I112" s="496">
        <v>4853962</v>
      </c>
      <c r="J112" s="496">
        <v>1892421</v>
      </c>
      <c r="K112" s="496">
        <v>1663137</v>
      </c>
      <c r="L112" s="497">
        <v>1252474</v>
      </c>
      <c r="M112" s="463"/>
      <c r="O112" s="58">
        <f t="shared" si="29"/>
        <v>4.4132907085845254E-2</v>
      </c>
      <c r="P112" s="59">
        <f t="shared" si="30"/>
        <v>9.8168459944013714E-3</v>
      </c>
      <c r="Q112" s="59">
        <f t="shared" si="31"/>
        <v>1.9834638616064555E-2</v>
      </c>
      <c r="R112" s="59">
        <f t="shared" si="32"/>
        <v>1.2756044089150395E-2</v>
      </c>
      <c r="S112" s="59">
        <f t="shared" si="33"/>
        <v>1.1178908861571338E-2</v>
      </c>
      <c r="T112" s="59">
        <f t="shared" si="34"/>
        <v>1.0175264247390773E-2</v>
      </c>
      <c r="U112" s="59">
        <f t="shared" si="35"/>
        <v>2.4908551796543006E-2</v>
      </c>
      <c r="V112" s="59">
        <f t="shared" si="36"/>
        <v>3.8547671513802971E-2</v>
      </c>
      <c r="W112" s="59">
        <f t="shared" si="37"/>
        <v>2.9152572587390273E-2</v>
      </c>
      <c r="X112" s="59">
        <f t="shared" si="38"/>
        <v>1.6367490535119412E-2</v>
      </c>
      <c r="Y112" s="60">
        <f t="shared" si="39"/>
        <v>7.9135898669777226E-3</v>
      </c>
      <c r="Z112" s="60">
        <f t="shared" si="40"/>
        <v>2.0434953199477916E-2</v>
      </c>
      <c r="AB112" s="68"/>
      <c r="AC112" s="59">
        <f t="shared" si="53"/>
        <v>-0.8870109886623474</v>
      </c>
      <c r="AD112" s="59">
        <f t="shared" si="53"/>
        <v>-1.7549489560561016E-3</v>
      </c>
      <c r="AE112" s="59">
        <f t="shared" si="53"/>
        <v>-1.2959223652090346E-3</v>
      </c>
      <c r="AF112" s="59">
        <f t="shared" si="53"/>
        <v>0.26358963526263901</v>
      </c>
      <c r="AG112" s="59">
        <f t="shared" si="28"/>
        <v>-5.9346354239224741E-3</v>
      </c>
      <c r="AH112" s="59">
        <f t="shared" si="28"/>
        <v>3.6780649139525758</v>
      </c>
      <c r="AI112" s="59">
        <f t="shared" si="28"/>
        <v>3.1546226744544343</v>
      </c>
      <c r="AJ112" s="59">
        <f t="shared" si="28"/>
        <v>-0.61012859185959845</v>
      </c>
      <c r="AK112" s="59">
        <f t="shared" si="54"/>
        <v>-0.12115908669371134</v>
      </c>
      <c r="AL112" s="59">
        <f t="shared" si="54"/>
        <v>-0.24692072871928172</v>
      </c>
      <c r="AM112" s="65">
        <f t="shared" si="41"/>
        <v>0.52220723209895226</v>
      </c>
      <c r="AO112" s="58"/>
      <c r="AP112" s="59">
        <f t="shared" si="42"/>
        <v>-0.89610205854008951</v>
      </c>
      <c r="AQ112" s="59">
        <f t="shared" si="43"/>
        <v>-7.2693868050214716E-2</v>
      </c>
      <c r="AR112" s="59">
        <f t="shared" si="44"/>
        <v>-6.6544464309943985E-2</v>
      </c>
      <c r="AS112" s="59">
        <f t="shared" si="45"/>
        <v>0.18658055710643162</v>
      </c>
      <c r="AT112" s="59">
        <f t="shared" si="46"/>
        <v>-5.7735822044408969E-2</v>
      </c>
      <c r="AU112" s="59">
        <f t="shared" si="47"/>
        <v>3.4615640349019037</v>
      </c>
      <c r="AV112" s="59">
        <f t="shared" si="48"/>
        <v>2.9764765260857913</v>
      </c>
      <c r="AW112" s="59">
        <f t="shared" si="49"/>
        <v>-0.63111797886233179</v>
      </c>
      <c r="AX112" s="59">
        <f t="shared" si="50"/>
        <v>-0.18376436026164333</v>
      </c>
      <c r="AY112" s="59">
        <f t="shared" si="51"/>
        <v>-0.26168698894047226</v>
      </c>
      <c r="AZ112" s="65">
        <f t="shared" si="52"/>
        <v>0.44549755770850208</v>
      </c>
    </row>
    <row r="113" spans="1:52" ht="38.25">
      <c r="A113" s="515" t="s">
        <v>46</v>
      </c>
      <c r="B113" s="495"/>
      <c r="C113" s="496"/>
      <c r="D113" s="496"/>
      <c r="E113" s="496"/>
      <c r="F113" s="496"/>
      <c r="G113" s="496"/>
      <c r="H113" s="496"/>
      <c r="I113" s="496"/>
      <c r="J113" s="496">
        <v>10187</v>
      </c>
      <c r="K113" s="496">
        <v>34106</v>
      </c>
      <c r="L113" s="497"/>
      <c r="M113" s="463"/>
      <c r="O113" s="58">
        <f t="shared" si="29"/>
        <v>0</v>
      </c>
      <c r="P113" s="59">
        <f t="shared" si="30"/>
        <v>0</v>
      </c>
      <c r="Q113" s="59">
        <f t="shared" si="31"/>
        <v>0</v>
      </c>
      <c r="R113" s="59">
        <f t="shared" si="32"/>
        <v>0</v>
      </c>
      <c r="S113" s="59">
        <f t="shared" si="33"/>
        <v>0</v>
      </c>
      <c r="T113" s="59">
        <f t="shared" si="34"/>
        <v>0</v>
      </c>
      <c r="U113" s="59">
        <f t="shared" si="35"/>
        <v>0</v>
      </c>
      <c r="V113" s="59">
        <f t="shared" si="36"/>
        <v>0</v>
      </c>
      <c r="W113" s="59">
        <f t="shared" si="37"/>
        <v>1.5692980417557443E-4</v>
      </c>
      <c r="X113" s="59">
        <f t="shared" si="38"/>
        <v>3.3564861595333561E-4</v>
      </c>
      <c r="Y113" s="60">
        <f t="shared" si="39"/>
        <v>0</v>
      </c>
      <c r="Z113" s="60">
        <f t="shared" si="40"/>
        <v>4.4779856375355455E-5</v>
      </c>
      <c r="AB113" s="68"/>
      <c r="AC113" s="59" t="str">
        <f t="shared" si="53"/>
        <v/>
      </c>
      <c r="AD113" s="59" t="str">
        <f t="shared" si="53"/>
        <v/>
      </c>
      <c r="AE113" s="59" t="str">
        <f t="shared" si="53"/>
        <v/>
      </c>
      <c r="AF113" s="59" t="str">
        <f t="shared" si="53"/>
        <v/>
      </c>
      <c r="AG113" s="59" t="str">
        <f t="shared" si="28"/>
        <v/>
      </c>
      <c r="AH113" s="59" t="str">
        <f t="shared" si="28"/>
        <v/>
      </c>
      <c r="AI113" s="59" t="str">
        <f t="shared" si="28"/>
        <v/>
      </c>
      <c r="AJ113" s="59" t="str">
        <f t="shared" si="28"/>
        <v/>
      </c>
      <c r="AK113" s="59">
        <f t="shared" si="54"/>
        <v>2.3479925395111416</v>
      </c>
      <c r="AL113" s="59">
        <f t="shared" si="54"/>
        <v>-1</v>
      </c>
      <c r="AM113" s="65">
        <f t="shared" si="41"/>
        <v>0.67399626975557081</v>
      </c>
      <c r="AO113" s="58"/>
      <c r="AP113" s="59">
        <f t="shared" si="42"/>
        <v>0</v>
      </c>
      <c r="AQ113" s="59">
        <f t="shared" si="43"/>
        <v>0</v>
      </c>
      <c r="AR113" s="59">
        <f t="shared" si="44"/>
        <v>0</v>
      </c>
      <c r="AS113" s="59">
        <f t="shared" si="45"/>
        <v>0</v>
      </c>
      <c r="AT113" s="59">
        <f t="shared" si="46"/>
        <v>0</v>
      </c>
      <c r="AU113" s="59">
        <f t="shared" si="47"/>
        <v>0</v>
      </c>
      <c r="AV113" s="59">
        <f t="shared" si="48"/>
        <v>0</v>
      </c>
      <c r="AW113" s="59">
        <f t="shared" si="49"/>
        <v>0</v>
      </c>
      <c r="AX113" s="59">
        <f t="shared" si="50"/>
        <v>2.1094943247990541</v>
      </c>
      <c r="AY113" s="59">
        <f t="shared" si="51"/>
        <v>-1</v>
      </c>
      <c r="AZ113" s="65">
        <f t="shared" si="52"/>
        <v>0.11094943247990541</v>
      </c>
    </row>
    <row r="114" spans="1:52" ht="51">
      <c r="A114" s="515" t="s">
        <v>47</v>
      </c>
      <c r="B114" s="495">
        <v>99118</v>
      </c>
      <c r="C114" s="496"/>
      <c r="D114" s="496"/>
      <c r="E114" s="496"/>
      <c r="F114" s="496"/>
      <c r="G114" s="496"/>
      <c r="H114" s="496">
        <v>12362</v>
      </c>
      <c r="I114" s="496"/>
      <c r="J114" s="496"/>
      <c r="K114" s="496">
        <v>265751</v>
      </c>
      <c r="L114" s="497"/>
      <c r="M114" s="463"/>
      <c r="O114" s="58">
        <f t="shared" si="29"/>
        <v>2.4782648635509144E-3</v>
      </c>
      <c r="P114" s="59">
        <f t="shared" si="30"/>
        <v>0</v>
      </c>
      <c r="Q114" s="59">
        <f t="shared" si="31"/>
        <v>0</v>
      </c>
      <c r="R114" s="59">
        <f t="shared" si="32"/>
        <v>0</v>
      </c>
      <c r="S114" s="59">
        <f t="shared" si="33"/>
        <v>0</v>
      </c>
      <c r="T114" s="59">
        <f t="shared" si="34"/>
        <v>0</v>
      </c>
      <c r="U114" s="59">
        <f t="shared" si="35"/>
        <v>2.6355571150298945E-4</v>
      </c>
      <c r="V114" s="59">
        <f t="shared" si="36"/>
        <v>0</v>
      </c>
      <c r="W114" s="59">
        <f t="shared" si="37"/>
        <v>0</v>
      </c>
      <c r="X114" s="59">
        <f t="shared" si="38"/>
        <v>2.6153449638836243E-3</v>
      </c>
      <c r="Y114" s="60">
        <f t="shared" si="39"/>
        <v>0</v>
      </c>
      <c r="Z114" s="60">
        <f t="shared" si="40"/>
        <v>4.8701504899432074E-4</v>
      </c>
      <c r="AB114" s="68"/>
      <c r="AC114" s="59">
        <f t="shared" si="53"/>
        <v>-1</v>
      </c>
      <c r="AD114" s="59" t="str">
        <f t="shared" si="53"/>
        <v/>
      </c>
      <c r="AE114" s="59" t="str">
        <f t="shared" si="53"/>
        <v/>
      </c>
      <c r="AF114" s="59" t="str">
        <f t="shared" si="53"/>
        <v/>
      </c>
      <c r="AG114" s="59" t="str">
        <f t="shared" si="28"/>
        <v/>
      </c>
      <c r="AH114" s="59" t="str">
        <f t="shared" si="28"/>
        <v/>
      </c>
      <c r="AI114" s="59">
        <f t="shared" si="28"/>
        <v>-1</v>
      </c>
      <c r="AJ114" s="59" t="str">
        <f t="shared" si="28"/>
        <v/>
      </c>
      <c r="AK114" s="59" t="str">
        <f t="shared" si="54"/>
        <v/>
      </c>
      <c r="AL114" s="59">
        <f t="shared" si="54"/>
        <v>-1</v>
      </c>
      <c r="AM114" s="65">
        <f t="shared" si="41"/>
        <v>-1</v>
      </c>
      <c r="AO114" s="58"/>
      <c r="AP114" s="59">
        <f t="shared" si="42"/>
        <v>-1</v>
      </c>
      <c r="AQ114" s="59">
        <f t="shared" si="43"/>
        <v>0</v>
      </c>
      <c r="AR114" s="59">
        <f t="shared" si="44"/>
        <v>0</v>
      </c>
      <c r="AS114" s="59">
        <f t="shared" si="45"/>
        <v>0</v>
      </c>
      <c r="AT114" s="59">
        <f t="shared" si="46"/>
        <v>0</v>
      </c>
      <c r="AU114" s="59">
        <f t="shared" si="47"/>
        <v>0</v>
      </c>
      <c r="AV114" s="59">
        <f t="shared" si="48"/>
        <v>-1</v>
      </c>
      <c r="AW114" s="59">
        <f t="shared" si="49"/>
        <v>0</v>
      </c>
      <c r="AX114" s="59">
        <f t="shared" si="50"/>
        <v>0</v>
      </c>
      <c r="AY114" s="59">
        <f t="shared" si="51"/>
        <v>-1</v>
      </c>
      <c r="AZ114" s="65">
        <f t="shared" si="52"/>
        <v>-0.3</v>
      </c>
    </row>
    <row r="115" spans="1:52" ht="38.25">
      <c r="A115" s="515" t="s">
        <v>48</v>
      </c>
      <c r="B115" s="495"/>
      <c r="C115" s="496"/>
      <c r="D115" s="496"/>
      <c r="E115" s="496"/>
      <c r="F115" s="496"/>
      <c r="G115" s="496"/>
      <c r="H115" s="496"/>
      <c r="I115" s="496"/>
      <c r="J115" s="496"/>
      <c r="K115" s="496">
        <v>14955</v>
      </c>
      <c r="L115" s="497"/>
      <c r="M115" s="463"/>
      <c r="O115" s="58">
        <f t="shared" si="29"/>
        <v>0</v>
      </c>
      <c r="P115" s="59">
        <f t="shared" si="30"/>
        <v>0</v>
      </c>
      <c r="Q115" s="59">
        <f t="shared" si="31"/>
        <v>0</v>
      </c>
      <c r="R115" s="59">
        <f t="shared" si="32"/>
        <v>0</v>
      </c>
      <c r="S115" s="59">
        <f t="shared" si="33"/>
        <v>0</v>
      </c>
      <c r="T115" s="59">
        <f t="shared" si="34"/>
        <v>0</v>
      </c>
      <c r="U115" s="59">
        <f t="shared" si="35"/>
        <v>0</v>
      </c>
      <c r="V115" s="59">
        <f t="shared" si="36"/>
        <v>0</v>
      </c>
      <c r="W115" s="59">
        <f t="shared" si="37"/>
        <v>0</v>
      </c>
      <c r="X115" s="59">
        <f t="shared" si="38"/>
        <v>1.4717718441277587E-4</v>
      </c>
      <c r="Y115" s="60">
        <f t="shared" si="39"/>
        <v>0</v>
      </c>
      <c r="Z115" s="60">
        <f t="shared" si="40"/>
        <v>1.3379744037525079E-5</v>
      </c>
      <c r="AB115" s="68"/>
      <c r="AC115" s="59" t="str">
        <f t="shared" si="53"/>
        <v/>
      </c>
      <c r="AD115" s="59" t="str">
        <f t="shared" si="53"/>
        <v/>
      </c>
      <c r="AE115" s="59" t="str">
        <f t="shared" si="53"/>
        <v/>
      </c>
      <c r="AF115" s="59" t="str">
        <f t="shared" si="53"/>
        <v/>
      </c>
      <c r="AG115" s="59" t="str">
        <f t="shared" si="28"/>
        <v/>
      </c>
      <c r="AH115" s="59" t="str">
        <f t="shared" si="28"/>
        <v/>
      </c>
      <c r="AI115" s="59" t="str">
        <f t="shared" si="28"/>
        <v/>
      </c>
      <c r="AJ115" s="59" t="str">
        <f t="shared" si="28"/>
        <v/>
      </c>
      <c r="AK115" s="59" t="str">
        <f t="shared" si="54"/>
        <v/>
      </c>
      <c r="AL115" s="59">
        <f t="shared" si="54"/>
        <v>-1</v>
      </c>
      <c r="AM115" s="65">
        <f t="shared" si="41"/>
        <v>-1</v>
      </c>
      <c r="AO115" s="58"/>
      <c r="AP115" s="59">
        <f t="shared" si="42"/>
        <v>0</v>
      </c>
      <c r="AQ115" s="59">
        <f t="shared" si="43"/>
        <v>0</v>
      </c>
      <c r="AR115" s="59">
        <f t="shared" si="44"/>
        <v>0</v>
      </c>
      <c r="AS115" s="59">
        <f t="shared" si="45"/>
        <v>0</v>
      </c>
      <c r="AT115" s="59">
        <f t="shared" si="46"/>
        <v>0</v>
      </c>
      <c r="AU115" s="59">
        <f t="shared" si="47"/>
        <v>0</v>
      </c>
      <c r="AV115" s="59">
        <f t="shared" si="48"/>
        <v>0</v>
      </c>
      <c r="AW115" s="59">
        <f t="shared" si="49"/>
        <v>0</v>
      </c>
      <c r="AX115" s="59">
        <f t="shared" si="50"/>
        <v>0</v>
      </c>
      <c r="AY115" s="59">
        <f t="shared" si="51"/>
        <v>-1</v>
      </c>
      <c r="AZ115" s="65">
        <f t="shared" si="52"/>
        <v>-0.1</v>
      </c>
    </row>
    <row r="116" spans="1:52" ht="63.75">
      <c r="A116" s="515" t="s">
        <v>49</v>
      </c>
      <c r="B116" s="495"/>
      <c r="C116" s="496"/>
      <c r="D116" s="496"/>
      <c r="E116" s="496"/>
      <c r="F116" s="496"/>
      <c r="G116" s="496"/>
      <c r="H116" s="496"/>
      <c r="I116" s="496"/>
      <c r="J116" s="496"/>
      <c r="K116" s="496">
        <v>14955</v>
      </c>
      <c r="L116" s="497"/>
      <c r="M116" s="463"/>
      <c r="O116" s="58">
        <f t="shared" si="29"/>
        <v>0</v>
      </c>
      <c r="P116" s="59">
        <f t="shared" si="30"/>
        <v>0</v>
      </c>
      <c r="Q116" s="59">
        <f t="shared" si="31"/>
        <v>0</v>
      </c>
      <c r="R116" s="59">
        <f t="shared" si="32"/>
        <v>0</v>
      </c>
      <c r="S116" s="59">
        <f t="shared" si="33"/>
        <v>0</v>
      </c>
      <c r="T116" s="59">
        <f t="shared" si="34"/>
        <v>0</v>
      </c>
      <c r="U116" s="59">
        <f t="shared" si="35"/>
        <v>0</v>
      </c>
      <c r="V116" s="59">
        <f t="shared" si="36"/>
        <v>0</v>
      </c>
      <c r="W116" s="59">
        <f t="shared" si="37"/>
        <v>0</v>
      </c>
      <c r="X116" s="59">
        <f t="shared" si="38"/>
        <v>1.4717718441277587E-4</v>
      </c>
      <c r="Y116" s="60">
        <f t="shared" si="39"/>
        <v>0</v>
      </c>
      <c r="Z116" s="60">
        <f t="shared" si="40"/>
        <v>1.3379744037525079E-5</v>
      </c>
      <c r="AB116" s="68"/>
      <c r="AC116" s="59" t="str">
        <f t="shared" si="53"/>
        <v/>
      </c>
      <c r="AD116" s="59" t="str">
        <f t="shared" si="53"/>
        <v/>
      </c>
      <c r="AE116" s="59" t="str">
        <f t="shared" si="53"/>
        <v/>
      </c>
      <c r="AF116" s="59" t="str">
        <f t="shared" si="53"/>
        <v/>
      </c>
      <c r="AG116" s="59" t="str">
        <f t="shared" si="28"/>
        <v/>
      </c>
      <c r="AH116" s="59" t="str">
        <f t="shared" si="28"/>
        <v/>
      </c>
      <c r="AI116" s="59" t="str">
        <f t="shared" si="28"/>
        <v/>
      </c>
      <c r="AJ116" s="59" t="str">
        <f t="shared" si="28"/>
        <v/>
      </c>
      <c r="AK116" s="59" t="str">
        <f t="shared" si="54"/>
        <v/>
      </c>
      <c r="AL116" s="59">
        <f t="shared" si="54"/>
        <v>-1</v>
      </c>
      <c r="AM116" s="65">
        <f t="shared" si="41"/>
        <v>-1</v>
      </c>
      <c r="AO116" s="58"/>
      <c r="AP116" s="59">
        <f t="shared" si="42"/>
        <v>0</v>
      </c>
      <c r="AQ116" s="59">
        <f t="shared" si="43"/>
        <v>0</v>
      </c>
      <c r="AR116" s="59">
        <f t="shared" si="44"/>
        <v>0</v>
      </c>
      <c r="AS116" s="59">
        <f t="shared" si="45"/>
        <v>0</v>
      </c>
      <c r="AT116" s="59">
        <f t="shared" si="46"/>
        <v>0</v>
      </c>
      <c r="AU116" s="59">
        <f t="shared" si="47"/>
        <v>0</v>
      </c>
      <c r="AV116" s="59">
        <f t="shared" si="48"/>
        <v>0</v>
      </c>
      <c r="AW116" s="59">
        <f t="shared" si="49"/>
        <v>0</v>
      </c>
      <c r="AX116" s="59">
        <f t="shared" si="50"/>
        <v>0</v>
      </c>
      <c r="AY116" s="59">
        <f t="shared" si="51"/>
        <v>-1</v>
      </c>
      <c r="AZ116" s="65">
        <f t="shared" si="52"/>
        <v>-0.1</v>
      </c>
    </row>
    <row r="117" spans="1:52" ht="38.25">
      <c r="A117" s="515" t="s">
        <v>50</v>
      </c>
      <c r="B117" s="495">
        <v>279285</v>
      </c>
      <c r="C117" s="496">
        <v>254925</v>
      </c>
      <c r="D117" s="496"/>
      <c r="E117" s="496"/>
      <c r="F117" s="496"/>
      <c r="G117" s="496"/>
      <c r="H117" s="496">
        <v>33502</v>
      </c>
      <c r="I117" s="496">
        <v>229665</v>
      </c>
      <c r="J117" s="496">
        <v>287813</v>
      </c>
      <c r="K117" s="496">
        <v>145615</v>
      </c>
      <c r="L117" s="497">
        <v>38709</v>
      </c>
      <c r="M117" s="463"/>
      <c r="O117" s="58">
        <f t="shared" si="29"/>
        <v>6.9830121916989556E-3</v>
      </c>
      <c r="P117" s="59">
        <f t="shared" si="30"/>
        <v>1.2548183202244177E-2</v>
      </c>
      <c r="Q117" s="59">
        <f t="shared" si="31"/>
        <v>0</v>
      </c>
      <c r="R117" s="59">
        <f t="shared" si="32"/>
        <v>0</v>
      </c>
      <c r="S117" s="59">
        <f t="shared" si="33"/>
        <v>0</v>
      </c>
      <c r="T117" s="59">
        <f t="shared" si="34"/>
        <v>0</v>
      </c>
      <c r="U117" s="59">
        <f t="shared" si="35"/>
        <v>7.1425687160436434E-4</v>
      </c>
      <c r="V117" s="59">
        <f t="shared" si="36"/>
        <v>1.8238813938423004E-3</v>
      </c>
      <c r="W117" s="59">
        <f t="shared" si="37"/>
        <v>4.4337329664459217E-3</v>
      </c>
      <c r="X117" s="59">
        <f t="shared" si="38"/>
        <v>1.4330461857750825E-3</v>
      </c>
      <c r="Y117" s="60">
        <f t="shared" si="39"/>
        <v>2.4457765203975547E-4</v>
      </c>
      <c r="Z117" s="60">
        <f t="shared" si="40"/>
        <v>2.56188095124096E-3</v>
      </c>
      <c r="AB117" s="68"/>
      <c r="AC117" s="59">
        <f t="shared" si="53"/>
        <v>-8.7222729469896287E-2</v>
      </c>
      <c r="AD117" s="59">
        <f t="shared" si="53"/>
        <v>-1</v>
      </c>
      <c r="AE117" s="59" t="str">
        <f t="shared" si="53"/>
        <v/>
      </c>
      <c r="AF117" s="59" t="str">
        <f t="shared" si="53"/>
        <v/>
      </c>
      <c r="AG117" s="59" t="str">
        <f t="shared" si="28"/>
        <v/>
      </c>
      <c r="AH117" s="59" t="str">
        <f t="shared" si="28"/>
        <v/>
      </c>
      <c r="AI117" s="59">
        <f t="shared" si="28"/>
        <v>5.8552623723956776</v>
      </c>
      <c r="AJ117" s="59">
        <f t="shared" si="28"/>
        <v>0.25318616245400904</v>
      </c>
      <c r="AK117" s="59">
        <f t="shared" si="54"/>
        <v>-0.49406385396073149</v>
      </c>
      <c r="AL117" s="59">
        <f t="shared" si="54"/>
        <v>-0.73416886996531949</v>
      </c>
      <c r="AM117" s="65">
        <f t="shared" si="41"/>
        <v>0.63216551357562334</v>
      </c>
      <c r="AO117" s="58"/>
      <c r="AP117" s="59">
        <f t="shared" si="42"/>
        <v>-0.16066457882289309</v>
      </c>
      <c r="AQ117" s="59">
        <f t="shared" si="43"/>
        <v>-1</v>
      </c>
      <c r="AR117" s="59">
        <f t="shared" si="44"/>
        <v>0</v>
      </c>
      <c r="AS117" s="59">
        <f t="shared" si="45"/>
        <v>0</v>
      </c>
      <c r="AT117" s="59">
        <f t="shared" si="46"/>
        <v>0</v>
      </c>
      <c r="AU117" s="59">
        <f t="shared" si="47"/>
        <v>0</v>
      </c>
      <c r="AV117" s="59">
        <f t="shared" si="48"/>
        <v>5.5613154406543623</v>
      </c>
      <c r="AW117" s="59">
        <f t="shared" si="49"/>
        <v>0.1857187647402867</v>
      </c>
      <c r="AX117" s="59">
        <f t="shared" si="50"/>
        <v>-0.5301048146751477</v>
      </c>
      <c r="AY117" s="59">
        <f t="shared" si="51"/>
        <v>-0.73938124506403868</v>
      </c>
      <c r="AZ117" s="65">
        <f t="shared" si="52"/>
        <v>0.33168835668325697</v>
      </c>
    </row>
    <row r="118" spans="1:52" ht="51">
      <c r="A118" s="515" t="s">
        <v>213</v>
      </c>
      <c r="B118" s="495">
        <v>44027</v>
      </c>
      <c r="C118" s="496"/>
      <c r="D118" s="496"/>
      <c r="E118" s="496"/>
      <c r="F118" s="496"/>
      <c r="G118" s="496"/>
      <c r="H118" s="496"/>
      <c r="I118" s="496"/>
      <c r="J118" s="496"/>
      <c r="K118" s="496"/>
      <c r="L118" s="497"/>
      <c r="M118" s="463"/>
      <c r="O118" s="58">
        <f t="shared" si="29"/>
        <v>1.1008148585277759E-3</v>
      </c>
      <c r="P118" s="59">
        <f t="shared" si="30"/>
        <v>0</v>
      </c>
      <c r="Q118" s="59">
        <f t="shared" si="31"/>
        <v>0</v>
      </c>
      <c r="R118" s="59">
        <f t="shared" si="32"/>
        <v>0</v>
      </c>
      <c r="S118" s="59">
        <f t="shared" si="33"/>
        <v>0</v>
      </c>
      <c r="T118" s="59">
        <f t="shared" si="34"/>
        <v>0</v>
      </c>
      <c r="U118" s="59">
        <f t="shared" si="35"/>
        <v>0</v>
      </c>
      <c r="V118" s="59">
        <f t="shared" si="36"/>
        <v>0</v>
      </c>
      <c r="W118" s="59">
        <f t="shared" si="37"/>
        <v>0</v>
      </c>
      <c r="X118" s="59">
        <f t="shared" si="38"/>
        <v>0</v>
      </c>
      <c r="Y118" s="60">
        <f t="shared" si="39"/>
        <v>0</v>
      </c>
      <c r="Z118" s="60">
        <f t="shared" si="40"/>
        <v>1.0007407804797962E-4</v>
      </c>
      <c r="AB118" s="68"/>
      <c r="AC118" s="59">
        <f t="shared" si="53"/>
        <v>-1</v>
      </c>
      <c r="AD118" s="59" t="str">
        <f t="shared" si="53"/>
        <v/>
      </c>
      <c r="AE118" s="59" t="str">
        <f t="shared" si="53"/>
        <v/>
      </c>
      <c r="AF118" s="59" t="str">
        <f t="shared" si="53"/>
        <v/>
      </c>
      <c r="AG118" s="59" t="str">
        <f t="shared" si="28"/>
        <v/>
      </c>
      <c r="AH118" s="59" t="str">
        <f t="shared" si="28"/>
        <v/>
      </c>
      <c r="AI118" s="59" t="str">
        <f t="shared" si="28"/>
        <v/>
      </c>
      <c r="AJ118" s="59" t="str">
        <f t="shared" si="28"/>
        <v/>
      </c>
      <c r="AK118" s="59" t="str">
        <f t="shared" si="54"/>
        <v/>
      </c>
      <c r="AL118" s="59" t="str">
        <f t="shared" si="54"/>
        <v/>
      </c>
      <c r="AM118" s="65">
        <f t="shared" si="41"/>
        <v>-1</v>
      </c>
      <c r="AO118" s="58"/>
      <c r="AP118" s="59">
        <f t="shared" si="42"/>
        <v>-1</v>
      </c>
      <c r="AQ118" s="59">
        <f t="shared" si="43"/>
        <v>0</v>
      </c>
      <c r="AR118" s="59">
        <f t="shared" si="44"/>
        <v>0</v>
      </c>
      <c r="AS118" s="59">
        <f t="shared" si="45"/>
        <v>0</v>
      </c>
      <c r="AT118" s="59">
        <f t="shared" si="46"/>
        <v>0</v>
      </c>
      <c r="AU118" s="59">
        <f t="shared" si="47"/>
        <v>0</v>
      </c>
      <c r="AV118" s="59">
        <f t="shared" si="48"/>
        <v>0</v>
      </c>
      <c r="AW118" s="59">
        <f t="shared" si="49"/>
        <v>0</v>
      </c>
      <c r="AX118" s="59">
        <f t="shared" si="50"/>
        <v>0</v>
      </c>
      <c r="AY118" s="59">
        <f t="shared" si="51"/>
        <v>0</v>
      </c>
      <c r="AZ118" s="65">
        <f t="shared" si="52"/>
        <v>-0.1</v>
      </c>
    </row>
    <row r="119" spans="1:52" ht="38.25">
      <c r="A119" s="515" t="s">
        <v>51</v>
      </c>
      <c r="B119" s="495">
        <v>323312</v>
      </c>
      <c r="C119" s="496">
        <v>254925</v>
      </c>
      <c r="D119" s="496"/>
      <c r="E119" s="496"/>
      <c r="F119" s="496"/>
      <c r="G119" s="496"/>
      <c r="H119" s="496">
        <v>33502</v>
      </c>
      <c r="I119" s="496">
        <v>229665</v>
      </c>
      <c r="J119" s="496">
        <v>287813</v>
      </c>
      <c r="K119" s="496">
        <v>145615</v>
      </c>
      <c r="L119" s="497">
        <v>38709</v>
      </c>
      <c r="M119" s="463"/>
      <c r="O119" s="58">
        <f t="shared" si="29"/>
        <v>8.0838270502267308E-3</v>
      </c>
      <c r="P119" s="59">
        <f t="shared" si="30"/>
        <v>1.2548183202244177E-2</v>
      </c>
      <c r="Q119" s="59">
        <f t="shared" si="31"/>
        <v>0</v>
      </c>
      <c r="R119" s="59">
        <f t="shared" si="32"/>
        <v>0</v>
      </c>
      <c r="S119" s="59">
        <f t="shared" si="33"/>
        <v>0</v>
      </c>
      <c r="T119" s="59">
        <f t="shared" si="34"/>
        <v>0</v>
      </c>
      <c r="U119" s="59">
        <f t="shared" si="35"/>
        <v>7.1425687160436434E-4</v>
      </c>
      <c r="V119" s="59">
        <f t="shared" si="36"/>
        <v>1.8238813938423004E-3</v>
      </c>
      <c r="W119" s="59">
        <f t="shared" si="37"/>
        <v>4.4337329664459217E-3</v>
      </c>
      <c r="X119" s="59">
        <f t="shared" si="38"/>
        <v>1.4330461857750825E-3</v>
      </c>
      <c r="Y119" s="60">
        <f t="shared" si="39"/>
        <v>2.4457765203975547E-4</v>
      </c>
      <c r="Z119" s="60">
        <f t="shared" si="40"/>
        <v>2.6619550292889395E-3</v>
      </c>
      <c r="AB119" s="68"/>
      <c r="AC119" s="59">
        <f t="shared" si="53"/>
        <v>-0.21152014153511156</v>
      </c>
      <c r="AD119" s="59">
        <f t="shared" si="53"/>
        <v>-1</v>
      </c>
      <c r="AE119" s="59" t="str">
        <f t="shared" si="53"/>
        <v/>
      </c>
      <c r="AF119" s="59" t="str">
        <f t="shared" si="53"/>
        <v/>
      </c>
      <c r="AG119" s="59" t="str">
        <f t="shared" si="28"/>
        <v/>
      </c>
      <c r="AH119" s="59" t="str">
        <f t="shared" si="28"/>
        <v/>
      </c>
      <c r="AI119" s="59">
        <f t="shared" si="28"/>
        <v>5.8552623723956776</v>
      </c>
      <c r="AJ119" s="59">
        <f t="shared" si="28"/>
        <v>0.25318616245400904</v>
      </c>
      <c r="AK119" s="59">
        <f t="shared" si="54"/>
        <v>-0.49406385396073149</v>
      </c>
      <c r="AL119" s="59">
        <f t="shared" si="54"/>
        <v>-0.73416886996531949</v>
      </c>
      <c r="AM119" s="65">
        <f t="shared" si="41"/>
        <v>0.61144927823142059</v>
      </c>
      <c r="AO119" s="58"/>
      <c r="AP119" s="59">
        <f t="shared" si="42"/>
        <v>-0.27496104968745883</v>
      </c>
      <c r="AQ119" s="59">
        <f t="shared" si="43"/>
        <v>-1</v>
      </c>
      <c r="AR119" s="59">
        <f t="shared" si="44"/>
        <v>0</v>
      </c>
      <c r="AS119" s="59">
        <f t="shared" si="45"/>
        <v>0</v>
      </c>
      <c r="AT119" s="59">
        <f t="shared" si="46"/>
        <v>0</v>
      </c>
      <c r="AU119" s="59">
        <f t="shared" si="47"/>
        <v>0</v>
      </c>
      <c r="AV119" s="59">
        <f t="shared" si="48"/>
        <v>5.5613154406543623</v>
      </c>
      <c r="AW119" s="59">
        <f t="shared" si="49"/>
        <v>0.1857187647402867</v>
      </c>
      <c r="AX119" s="59">
        <f t="shared" si="50"/>
        <v>-0.5301048146751477</v>
      </c>
      <c r="AY119" s="59">
        <f t="shared" si="51"/>
        <v>-0.73938124506403868</v>
      </c>
      <c r="AZ119" s="65">
        <f t="shared" si="52"/>
        <v>0.32025870959680042</v>
      </c>
    </row>
    <row r="120" spans="1:52" ht="38.25">
      <c r="A120" s="515" t="s">
        <v>52</v>
      </c>
      <c r="B120" s="495">
        <v>6162</v>
      </c>
      <c r="C120" s="496"/>
      <c r="D120" s="496"/>
      <c r="E120" s="496"/>
      <c r="F120" s="496"/>
      <c r="G120" s="496"/>
      <c r="H120" s="496"/>
      <c r="I120" s="496">
        <v>422336</v>
      </c>
      <c r="J120" s="496">
        <v>174897</v>
      </c>
      <c r="K120" s="496">
        <v>133761</v>
      </c>
      <c r="L120" s="497">
        <v>170354</v>
      </c>
      <c r="M120" s="463"/>
      <c r="O120" s="58">
        <f t="shared" si="29"/>
        <v>1.5406957453944524E-4</v>
      </c>
      <c r="P120" s="59">
        <f t="shared" si="30"/>
        <v>0</v>
      </c>
      <c r="Q120" s="59">
        <f t="shared" si="31"/>
        <v>0</v>
      </c>
      <c r="R120" s="59">
        <f t="shared" si="32"/>
        <v>0</v>
      </c>
      <c r="S120" s="59">
        <f t="shared" si="33"/>
        <v>0</v>
      </c>
      <c r="T120" s="59">
        <f t="shared" si="34"/>
        <v>0</v>
      </c>
      <c r="U120" s="59">
        <f t="shared" si="35"/>
        <v>0</v>
      </c>
      <c r="V120" s="59">
        <f t="shared" si="36"/>
        <v>3.3539754527236705E-3</v>
      </c>
      <c r="W120" s="59">
        <f t="shared" si="37"/>
        <v>2.6942723040046571E-3</v>
      </c>
      <c r="X120" s="59">
        <f t="shared" si="38"/>
        <v>1.3163869852382021E-3</v>
      </c>
      <c r="Y120" s="60">
        <f t="shared" si="39"/>
        <v>1.07635902078536E-3</v>
      </c>
      <c r="Z120" s="60">
        <f t="shared" si="40"/>
        <v>7.8136939429921217E-4</v>
      </c>
      <c r="AB120" s="68"/>
      <c r="AC120" s="59">
        <f t="shared" si="53"/>
        <v>-1</v>
      </c>
      <c r="AD120" s="59" t="str">
        <f t="shared" si="53"/>
        <v/>
      </c>
      <c r="AE120" s="59" t="str">
        <f t="shared" si="53"/>
        <v/>
      </c>
      <c r="AF120" s="59" t="str">
        <f t="shared" si="53"/>
        <v/>
      </c>
      <c r="AG120" s="59" t="str">
        <f t="shared" si="28"/>
        <v/>
      </c>
      <c r="AH120" s="59" t="str">
        <f t="shared" si="28"/>
        <v/>
      </c>
      <c r="AI120" s="59" t="str">
        <f t="shared" si="28"/>
        <v/>
      </c>
      <c r="AJ120" s="59">
        <f t="shared" si="28"/>
        <v>-0.58588185709956053</v>
      </c>
      <c r="AK120" s="59">
        <f t="shared" si="54"/>
        <v>-0.23520128990205669</v>
      </c>
      <c r="AL120" s="59">
        <f t="shared" si="54"/>
        <v>0.27357002414754672</v>
      </c>
      <c r="AM120" s="65">
        <f t="shared" si="41"/>
        <v>-0.38687828071351765</v>
      </c>
      <c r="AO120" s="58"/>
      <c r="AP120" s="59">
        <f t="shared" si="42"/>
        <v>-1</v>
      </c>
      <c r="AQ120" s="59">
        <f t="shared" si="43"/>
        <v>0</v>
      </c>
      <c r="AR120" s="59">
        <f t="shared" si="44"/>
        <v>0</v>
      </c>
      <c r="AS120" s="59">
        <f t="shared" si="45"/>
        <v>0</v>
      </c>
      <c r="AT120" s="59">
        <f t="shared" si="46"/>
        <v>0</v>
      </c>
      <c r="AU120" s="59">
        <f t="shared" si="47"/>
        <v>0</v>
      </c>
      <c r="AV120" s="59">
        <f t="shared" si="48"/>
        <v>0</v>
      </c>
      <c r="AW120" s="59">
        <f t="shared" si="49"/>
        <v>-0.60817660809874208</v>
      </c>
      <c r="AX120" s="59">
        <f t="shared" si="50"/>
        <v>-0.28968263202568656</v>
      </c>
      <c r="AY120" s="59">
        <f t="shared" si="51"/>
        <v>0.24859806288975173</v>
      </c>
      <c r="AZ120" s="65">
        <f t="shared" si="52"/>
        <v>-0.16492611772346771</v>
      </c>
    </row>
    <row r="121" spans="1:52" ht="38.25">
      <c r="A121" s="515" t="s">
        <v>216</v>
      </c>
      <c r="B121" s="495"/>
      <c r="C121" s="496"/>
      <c r="D121" s="496"/>
      <c r="E121" s="496"/>
      <c r="F121" s="496"/>
      <c r="G121" s="496"/>
      <c r="H121" s="496"/>
      <c r="I121" s="496"/>
      <c r="J121" s="496"/>
      <c r="K121" s="496"/>
      <c r="L121" s="497">
        <v>239303</v>
      </c>
      <c r="M121" s="463"/>
      <c r="O121" s="58">
        <f t="shared" si="29"/>
        <v>0</v>
      </c>
      <c r="P121" s="59">
        <f t="shared" si="30"/>
        <v>0</v>
      </c>
      <c r="Q121" s="59">
        <f t="shared" si="31"/>
        <v>0</v>
      </c>
      <c r="R121" s="59">
        <f t="shared" si="32"/>
        <v>0</v>
      </c>
      <c r="S121" s="59">
        <f t="shared" si="33"/>
        <v>0</v>
      </c>
      <c r="T121" s="59">
        <f t="shared" si="34"/>
        <v>0</v>
      </c>
      <c r="U121" s="59">
        <f t="shared" si="35"/>
        <v>0</v>
      </c>
      <c r="V121" s="59">
        <f t="shared" si="36"/>
        <v>0</v>
      </c>
      <c r="W121" s="59">
        <f t="shared" si="37"/>
        <v>0</v>
      </c>
      <c r="X121" s="59">
        <f t="shared" si="38"/>
        <v>0</v>
      </c>
      <c r="Y121" s="60">
        <f t="shared" si="39"/>
        <v>1.5120040782781678E-3</v>
      </c>
      <c r="Z121" s="60">
        <f t="shared" si="40"/>
        <v>1.3745491620710616E-4</v>
      </c>
      <c r="AB121" s="68"/>
      <c r="AC121" s="59" t="str">
        <f t="shared" si="53"/>
        <v/>
      </c>
      <c r="AD121" s="59" t="str">
        <f t="shared" si="53"/>
        <v/>
      </c>
      <c r="AE121" s="59" t="str">
        <f t="shared" si="53"/>
        <v/>
      </c>
      <c r="AF121" s="59" t="str">
        <f t="shared" si="53"/>
        <v/>
      </c>
      <c r="AG121" s="59" t="str">
        <f t="shared" si="28"/>
        <v/>
      </c>
      <c r="AH121" s="59" t="str">
        <f t="shared" si="28"/>
        <v/>
      </c>
      <c r="AI121" s="59" t="str">
        <f t="shared" si="28"/>
        <v/>
      </c>
      <c r="AJ121" s="59" t="str">
        <f t="shared" si="28"/>
        <v/>
      </c>
      <c r="AK121" s="59" t="str">
        <f t="shared" si="54"/>
        <v/>
      </c>
      <c r="AL121" s="59" t="str">
        <f t="shared" si="54"/>
        <v/>
      </c>
      <c r="AM121" s="65" t="e">
        <f t="shared" si="41"/>
        <v>#DIV/0!</v>
      </c>
      <c r="AO121" s="58"/>
      <c r="AP121" s="59">
        <f t="shared" si="42"/>
        <v>0</v>
      </c>
      <c r="AQ121" s="59">
        <f t="shared" si="43"/>
        <v>0</v>
      </c>
      <c r="AR121" s="59">
        <f t="shared" si="44"/>
        <v>0</v>
      </c>
      <c r="AS121" s="59">
        <f t="shared" si="45"/>
        <v>0</v>
      </c>
      <c r="AT121" s="59">
        <f t="shared" si="46"/>
        <v>0</v>
      </c>
      <c r="AU121" s="59">
        <f t="shared" si="47"/>
        <v>0</v>
      </c>
      <c r="AV121" s="59">
        <f t="shared" si="48"/>
        <v>0</v>
      </c>
      <c r="AW121" s="59">
        <f t="shared" si="49"/>
        <v>0</v>
      </c>
      <c r="AX121" s="59">
        <f t="shared" si="50"/>
        <v>0</v>
      </c>
      <c r="AY121" s="59">
        <f t="shared" si="51"/>
        <v>0</v>
      </c>
      <c r="AZ121" s="65">
        <f t="shared" si="52"/>
        <v>0</v>
      </c>
    </row>
    <row r="122" spans="1:52" ht="38.25">
      <c r="A122" s="515" t="s">
        <v>53</v>
      </c>
      <c r="B122" s="495">
        <v>6162</v>
      </c>
      <c r="C122" s="496"/>
      <c r="D122" s="496"/>
      <c r="E122" s="496"/>
      <c r="F122" s="496"/>
      <c r="G122" s="496"/>
      <c r="H122" s="496"/>
      <c r="I122" s="496">
        <v>422336</v>
      </c>
      <c r="J122" s="496">
        <v>174897</v>
      </c>
      <c r="K122" s="496">
        <v>133761</v>
      </c>
      <c r="L122" s="497">
        <v>409657</v>
      </c>
      <c r="M122" s="463"/>
      <c r="O122" s="58">
        <f t="shared" si="29"/>
        <v>1.5406957453944524E-4</v>
      </c>
      <c r="P122" s="59">
        <f t="shared" si="30"/>
        <v>0</v>
      </c>
      <c r="Q122" s="59">
        <f t="shared" si="31"/>
        <v>0</v>
      </c>
      <c r="R122" s="59">
        <f t="shared" si="32"/>
        <v>0</v>
      </c>
      <c r="S122" s="59">
        <f t="shared" si="33"/>
        <v>0</v>
      </c>
      <c r="T122" s="59">
        <f t="shared" si="34"/>
        <v>0</v>
      </c>
      <c r="U122" s="59">
        <f t="shared" si="35"/>
        <v>0</v>
      </c>
      <c r="V122" s="59">
        <f t="shared" si="36"/>
        <v>3.3539754527236705E-3</v>
      </c>
      <c r="W122" s="59">
        <f t="shared" si="37"/>
        <v>2.6942723040046571E-3</v>
      </c>
      <c r="X122" s="59">
        <f t="shared" si="38"/>
        <v>1.3163869852382021E-3</v>
      </c>
      <c r="Y122" s="60">
        <f t="shared" si="39"/>
        <v>2.5883630990635276E-3</v>
      </c>
      <c r="Z122" s="60">
        <f t="shared" si="40"/>
        <v>9.188243105063183E-4</v>
      </c>
      <c r="AB122" s="68"/>
      <c r="AC122" s="59">
        <f t="shared" si="53"/>
        <v>-1</v>
      </c>
      <c r="AD122" s="59" t="str">
        <f t="shared" si="53"/>
        <v/>
      </c>
      <c r="AE122" s="59" t="str">
        <f t="shared" si="53"/>
        <v/>
      </c>
      <c r="AF122" s="59" t="str">
        <f t="shared" si="53"/>
        <v/>
      </c>
      <c r="AG122" s="59" t="str">
        <f t="shared" si="28"/>
        <v/>
      </c>
      <c r="AH122" s="59" t="str">
        <f t="shared" si="28"/>
        <v/>
      </c>
      <c r="AI122" s="59" t="str">
        <f t="shared" si="28"/>
        <v/>
      </c>
      <c r="AJ122" s="59">
        <f t="shared" si="28"/>
        <v>-0.58588185709956053</v>
      </c>
      <c r="AK122" s="59">
        <f t="shared" si="54"/>
        <v>-0.23520128990205669</v>
      </c>
      <c r="AL122" s="59">
        <f t="shared" si="54"/>
        <v>2.0626041970380005</v>
      </c>
      <c r="AM122" s="65">
        <f t="shared" si="41"/>
        <v>6.0380262509095783E-2</v>
      </c>
      <c r="AO122" s="58"/>
      <c r="AP122" s="59">
        <f t="shared" si="42"/>
        <v>-1</v>
      </c>
      <c r="AQ122" s="59">
        <f t="shared" si="43"/>
        <v>0</v>
      </c>
      <c r="AR122" s="59">
        <f t="shared" si="44"/>
        <v>0</v>
      </c>
      <c r="AS122" s="59">
        <f t="shared" si="45"/>
        <v>0</v>
      </c>
      <c r="AT122" s="59">
        <f t="shared" si="46"/>
        <v>0</v>
      </c>
      <c r="AU122" s="59">
        <f t="shared" si="47"/>
        <v>0</v>
      </c>
      <c r="AV122" s="59">
        <f t="shared" si="48"/>
        <v>0</v>
      </c>
      <c r="AW122" s="59">
        <f t="shared" si="49"/>
        <v>-0.60817660809874208</v>
      </c>
      <c r="AX122" s="59">
        <f t="shared" si="50"/>
        <v>-0.28968263202568656</v>
      </c>
      <c r="AY122" s="59">
        <f t="shared" si="51"/>
        <v>2.0025531343509808</v>
      </c>
      <c r="AZ122" s="65">
        <f t="shared" si="52"/>
        <v>1.0469389422655207E-2</v>
      </c>
    </row>
    <row r="123" spans="1:52" ht="38.25">
      <c r="A123" s="515" t="s">
        <v>54</v>
      </c>
      <c r="B123" s="495">
        <v>4489230</v>
      </c>
      <c r="C123" s="496">
        <v>871588</v>
      </c>
      <c r="D123" s="496">
        <v>550465</v>
      </c>
      <c r="E123" s="496">
        <v>1611419</v>
      </c>
      <c r="F123" s="496">
        <v>2114806</v>
      </c>
      <c r="G123" s="496">
        <v>1870578</v>
      </c>
      <c r="H123" s="496">
        <v>2417940</v>
      </c>
      <c r="I123" s="496">
        <v>21594132</v>
      </c>
      <c r="J123" s="496">
        <v>4805264</v>
      </c>
      <c r="K123" s="496">
        <v>4968863</v>
      </c>
      <c r="L123" s="497">
        <v>8703927</v>
      </c>
      <c r="M123" s="463"/>
      <c r="O123" s="58">
        <f t="shared" si="29"/>
        <v>0.11224501072861306</v>
      </c>
      <c r="P123" s="59">
        <f t="shared" si="30"/>
        <v>4.2902210065225446E-2</v>
      </c>
      <c r="Q123" s="59">
        <f t="shared" si="31"/>
        <v>5.4841999667440085E-2</v>
      </c>
      <c r="R123" s="59">
        <f t="shared" si="32"/>
        <v>0.10338248038553242</v>
      </c>
      <c r="S123" s="59">
        <f t="shared" si="33"/>
        <v>9.4099290844518277E-2</v>
      </c>
      <c r="T123" s="59">
        <f t="shared" si="34"/>
        <v>7.6211933105458082E-2</v>
      </c>
      <c r="U123" s="59">
        <f t="shared" si="35"/>
        <v>5.1550064477555273E-2</v>
      </c>
      <c r="V123" s="59">
        <f t="shared" si="36"/>
        <v>0.17148949805575348</v>
      </c>
      <c r="W123" s="59">
        <f t="shared" si="37"/>
        <v>7.4024652844992392E-2</v>
      </c>
      <c r="X123" s="59">
        <f t="shared" si="38"/>
        <v>4.8900251827002257E-2</v>
      </c>
      <c r="Y123" s="60">
        <f t="shared" si="39"/>
        <v>5.4994601492816465E-2</v>
      </c>
      <c r="Z123" s="60">
        <f t="shared" si="40"/>
        <v>8.0421999408627931E-2</v>
      </c>
      <c r="AB123" s="68"/>
      <c r="AC123" s="59">
        <f t="shared" si="53"/>
        <v>-0.80584910998099901</v>
      </c>
      <c r="AD123" s="59">
        <f t="shared" si="53"/>
        <v>-0.36843439790359667</v>
      </c>
      <c r="AE123" s="59">
        <f t="shared" si="53"/>
        <v>1.9273777624372124</v>
      </c>
      <c r="AF123" s="59">
        <f t="shared" si="53"/>
        <v>0.31238740513795604</v>
      </c>
      <c r="AG123" s="59">
        <f t="shared" si="28"/>
        <v>-0.11548482461275411</v>
      </c>
      <c r="AH123" s="59">
        <f t="shared" si="28"/>
        <v>0.29261650676956541</v>
      </c>
      <c r="AI123" s="59">
        <f t="shared" si="28"/>
        <v>7.9307972902553416</v>
      </c>
      <c r="AJ123" s="59">
        <f t="shared" si="28"/>
        <v>-0.77747362107446594</v>
      </c>
      <c r="AK123" s="59">
        <f t="shared" si="54"/>
        <v>3.4045788119029474E-2</v>
      </c>
      <c r="AL123" s="59">
        <f t="shared" si="54"/>
        <v>0.75169389858404223</v>
      </c>
      <c r="AM123" s="65">
        <f t="shared" si="41"/>
        <v>0.91816766977313313</v>
      </c>
      <c r="AO123" s="58"/>
      <c r="AP123" s="59">
        <f t="shared" si="42"/>
        <v>-0.82147044595953933</v>
      </c>
      <c r="AQ123" s="59">
        <f t="shared" si="43"/>
        <v>-0.4133157435240099</v>
      </c>
      <c r="AR123" s="59">
        <f t="shared" si="44"/>
        <v>1.7361227801076851</v>
      </c>
      <c r="AS123" s="59">
        <f t="shared" si="45"/>
        <v>0.23240436204146508</v>
      </c>
      <c r="AT123" s="59">
        <f t="shared" si="46"/>
        <v>-0.16157730233269429</v>
      </c>
      <c r="AU123" s="59">
        <f t="shared" si="47"/>
        <v>0.23279420521142646</v>
      </c>
      <c r="AV123" s="59">
        <f t="shared" si="48"/>
        <v>7.547853455451131</v>
      </c>
      <c r="AW123" s="59">
        <f t="shared" si="49"/>
        <v>-0.78945370524597025</v>
      </c>
      <c r="AX123" s="59">
        <f t="shared" si="50"/>
        <v>-3.961568856781883E-2</v>
      </c>
      <c r="AY123" s="59">
        <f t="shared" si="51"/>
        <v>0.7173469593961197</v>
      </c>
      <c r="AZ123" s="65">
        <f t="shared" si="52"/>
        <v>0.82410888765777934</v>
      </c>
    </row>
    <row r="124" spans="1:52" ht="25.5">
      <c r="A124" s="515" t="s">
        <v>55</v>
      </c>
      <c r="B124" s="495">
        <v>33677991</v>
      </c>
      <c r="C124" s="496">
        <v>14410550</v>
      </c>
      <c r="D124" s="496">
        <v>8091807</v>
      </c>
      <c r="E124" s="496">
        <v>11940454</v>
      </c>
      <c r="F124" s="496">
        <v>16214618</v>
      </c>
      <c r="G124" s="496">
        <v>18315763</v>
      </c>
      <c r="H124" s="496">
        <v>30457637</v>
      </c>
      <c r="I124" s="496">
        <v>82779613</v>
      </c>
      <c r="J124" s="496">
        <v>35800854</v>
      </c>
      <c r="K124" s="496">
        <v>52887244</v>
      </c>
      <c r="L124" s="497">
        <v>101527926</v>
      </c>
      <c r="M124" s="463"/>
      <c r="O124" s="58">
        <f t="shared" si="29"/>
        <v>0.84205675831114346</v>
      </c>
      <c r="P124" s="59">
        <f t="shared" si="30"/>
        <v>0.70933106382308453</v>
      </c>
      <c r="Q124" s="59">
        <f t="shared" si="31"/>
        <v>0.806174555699253</v>
      </c>
      <c r="R124" s="59">
        <f t="shared" si="32"/>
        <v>0.76605386398531494</v>
      </c>
      <c r="S124" s="59">
        <f t="shared" si="33"/>
        <v>0.72147707880286005</v>
      </c>
      <c r="T124" s="59">
        <f t="shared" si="34"/>
        <v>0.74622908241806774</v>
      </c>
      <c r="U124" s="59">
        <f t="shared" si="35"/>
        <v>0.6493515766247191</v>
      </c>
      <c r="V124" s="59">
        <f t="shared" si="36"/>
        <v>0.65739314192483056</v>
      </c>
      <c r="W124" s="59">
        <f t="shared" si="37"/>
        <v>0.5515088846115962</v>
      </c>
      <c r="X124" s="59">
        <f t="shared" si="38"/>
        <v>0.52048115434780839</v>
      </c>
      <c r="Y124" s="60">
        <f t="shared" si="39"/>
        <v>0.64149065482306544</v>
      </c>
      <c r="Z124" s="60">
        <f t="shared" si="40"/>
        <v>0.69195889230652208</v>
      </c>
      <c r="AB124" s="68"/>
      <c r="AC124" s="59">
        <f t="shared" si="53"/>
        <v>-0.57210778992131694</v>
      </c>
      <c r="AD124" s="59">
        <f t="shared" si="53"/>
        <v>-0.43848034946618974</v>
      </c>
      <c r="AE124" s="59">
        <f t="shared" si="53"/>
        <v>0.47562268847984135</v>
      </c>
      <c r="AF124" s="59">
        <f t="shared" si="53"/>
        <v>0.35795657351052146</v>
      </c>
      <c r="AG124" s="59">
        <f t="shared" si="28"/>
        <v>0.12958337963928601</v>
      </c>
      <c r="AH124" s="59">
        <f t="shared" si="28"/>
        <v>0.662919366231153</v>
      </c>
      <c r="AI124" s="59">
        <f t="shared" si="28"/>
        <v>1.7178606469044202</v>
      </c>
      <c r="AJ124" s="59">
        <f t="shared" si="28"/>
        <v>-0.56751605011731576</v>
      </c>
      <c r="AK124" s="59">
        <f t="shared" si="54"/>
        <v>0.47726207872024506</v>
      </c>
      <c r="AL124" s="59">
        <f t="shared" si="54"/>
        <v>0.91970536411388726</v>
      </c>
      <c r="AM124" s="65">
        <f t="shared" si="41"/>
        <v>0.31628059080945314</v>
      </c>
      <c r="AO124" s="58"/>
      <c r="AP124" s="59">
        <f t="shared" si="42"/>
        <v>-0.60653589877822245</v>
      </c>
      <c r="AQ124" s="59">
        <f t="shared" si="43"/>
        <v>-0.47838397535177868</v>
      </c>
      <c r="AR124" s="59">
        <f t="shared" si="44"/>
        <v>0.37921552339456133</v>
      </c>
      <c r="AS124" s="59">
        <f t="shared" si="45"/>
        <v>0.27519633159031032</v>
      </c>
      <c r="AT124" s="59">
        <f t="shared" si="46"/>
        <v>7.0720289205541853E-2</v>
      </c>
      <c r="AU124" s="59">
        <f t="shared" si="47"/>
        <v>0.58595944557985069</v>
      </c>
      <c r="AV124" s="59">
        <f t="shared" si="48"/>
        <v>1.6013214461183196</v>
      </c>
      <c r="AW124" s="59">
        <f t="shared" si="49"/>
        <v>-0.59079955541424511</v>
      </c>
      <c r="AX124" s="59">
        <f t="shared" si="50"/>
        <v>0.37202756452144992</v>
      </c>
      <c r="AY124" s="59">
        <f t="shared" si="51"/>
        <v>0.88206408246459533</v>
      </c>
      <c r="AZ124" s="65">
        <f t="shared" si="52"/>
        <v>0.24907852533303831</v>
      </c>
    </row>
    <row r="125" spans="1:52" ht="38.25">
      <c r="A125" s="515" t="s">
        <v>56</v>
      </c>
      <c r="B125" s="495">
        <v>2264250</v>
      </c>
      <c r="C125" s="496">
        <v>1952000</v>
      </c>
      <c r="D125" s="496">
        <v>1650000</v>
      </c>
      <c r="E125" s="496">
        <v>1670300</v>
      </c>
      <c r="F125" s="496">
        <v>2861834</v>
      </c>
      <c r="G125" s="496">
        <v>3881534</v>
      </c>
      <c r="H125" s="496">
        <v>4811190</v>
      </c>
      <c r="I125" s="496">
        <v>5850000</v>
      </c>
      <c r="J125" s="496">
        <v>6790900</v>
      </c>
      <c r="K125" s="496">
        <v>6748434</v>
      </c>
      <c r="L125" s="497">
        <v>11429490</v>
      </c>
      <c r="M125" s="463"/>
      <c r="O125" s="58">
        <f t="shared" si="29"/>
        <v>5.6613442737899852E-2</v>
      </c>
      <c r="P125" s="59">
        <f t="shared" si="30"/>
        <v>9.6083372014438104E-2</v>
      </c>
      <c r="Q125" s="59">
        <f t="shared" si="31"/>
        <v>0.16438701725137136</v>
      </c>
      <c r="R125" s="59">
        <f t="shared" si="32"/>
        <v>0.10716006016309526</v>
      </c>
      <c r="S125" s="59">
        <f t="shared" si="33"/>
        <v>0.12733865419084828</v>
      </c>
      <c r="T125" s="59">
        <f t="shared" si="34"/>
        <v>0.15814321004232978</v>
      </c>
      <c r="U125" s="59">
        <f t="shared" si="35"/>
        <v>0.10257374240625043</v>
      </c>
      <c r="V125" s="59">
        <f t="shared" si="36"/>
        <v>4.6457693396806034E-2</v>
      </c>
      <c r="W125" s="59">
        <f t="shared" si="37"/>
        <v>0.10461319398997825</v>
      </c>
      <c r="X125" s="59">
        <f t="shared" si="38"/>
        <v>6.6413608513236161E-2</v>
      </c>
      <c r="Y125" s="60">
        <f t="shared" si="39"/>
        <v>7.2215707670357399E-2</v>
      </c>
      <c r="Z125" s="60">
        <f t="shared" si="40"/>
        <v>0.10018179112514644</v>
      </c>
      <c r="AB125" s="68"/>
      <c r="AC125" s="59">
        <f t="shared" si="53"/>
        <v>-0.13790438334989508</v>
      </c>
      <c r="AD125" s="59">
        <f t="shared" si="53"/>
        <v>-0.15471311475409832</v>
      </c>
      <c r="AE125" s="59">
        <f t="shared" si="53"/>
        <v>1.230303030303026E-2</v>
      </c>
      <c r="AF125" s="59">
        <f t="shared" si="53"/>
        <v>0.71336526372507936</v>
      </c>
      <c r="AG125" s="59">
        <f t="shared" ref="AG125:AJ140" si="55">+IF(F125=0,"",G125/F125-1)</f>
        <v>0.35630997465261793</v>
      </c>
      <c r="AH125" s="59">
        <f t="shared" si="55"/>
        <v>0.23950737002432554</v>
      </c>
      <c r="AI125" s="59">
        <f t="shared" si="55"/>
        <v>0.21591539723020703</v>
      </c>
      <c r="AJ125" s="59">
        <f t="shared" si="55"/>
        <v>0.16083760683760673</v>
      </c>
      <c r="AK125" s="59">
        <f t="shared" si="54"/>
        <v>-6.2533684784049637E-3</v>
      </c>
      <c r="AL125" s="59">
        <f t="shared" si="54"/>
        <v>0.69365070474127766</v>
      </c>
      <c r="AM125" s="65">
        <f t="shared" si="41"/>
        <v>0.20930184809317462</v>
      </c>
      <c r="AO125" s="58"/>
      <c r="AP125" s="59">
        <f t="shared" si="42"/>
        <v>-0.2072683984826621</v>
      </c>
      <c r="AQ125" s="59">
        <f t="shared" si="43"/>
        <v>-0.21478227102099245</v>
      </c>
      <c r="AR125" s="59">
        <f t="shared" si="44"/>
        <v>-5.383397485463115E-2</v>
      </c>
      <c r="AS125" s="59">
        <f t="shared" si="45"/>
        <v>0.60894474948359423</v>
      </c>
      <c r="AT125" s="59">
        <f t="shared" si="46"/>
        <v>0.28563206088970405</v>
      </c>
      <c r="AU125" s="59">
        <f t="shared" si="47"/>
        <v>0.18214295971020777</v>
      </c>
      <c r="AV125" s="59">
        <f t="shared" si="48"/>
        <v>0.16377813670578778</v>
      </c>
      <c r="AW125" s="59">
        <f t="shared" si="49"/>
        <v>9.8341949888926861E-2</v>
      </c>
      <c r="AX125" s="59">
        <f t="shared" si="50"/>
        <v>-7.7044087005112782E-2</v>
      </c>
      <c r="AY125" s="59">
        <f t="shared" si="51"/>
        <v>0.66044186739340938</v>
      </c>
      <c r="AZ125" s="65">
        <f t="shared" si="52"/>
        <v>0.14463529927082316</v>
      </c>
    </row>
    <row r="126" spans="1:52" ht="25.5">
      <c r="A126" s="515" t="s">
        <v>227</v>
      </c>
      <c r="B126" s="495">
        <v>1961822</v>
      </c>
      <c r="C126" s="496">
        <v>2371822</v>
      </c>
      <c r="D126" s="496"/>
      <c r="E126" s="496">
        <v>2351822</v>
      </c>
      <c r="F126" s="496">
        <v>2101322</v>
      </c>
      <c r="G126" s="496">
        <v>955122</v>
      </c>
      <c r="H126" s="496">
        <v>1708022</v>
      </c>
      <c r="I126" s="496">
        <v>3369191</v>
      </c>
      <c r="J126" s="496">
        <v>1586716</v>
      </c>
      <c r="K126" s="496">
        <v>4844525</v>
      </c>
      <c r="L126" s="497">
        <v>2345616</v>
      </c>
      <c r="M126" s="463"/>
      <c r="O126" s="58">
        <f t="shared" si="29"/>
        <v>4.9051782028906775E-2</v>
      </c>
      <c r="P126" s="59">
        <f t="shared" si="30"/>
        <v>0.11674828666907203</v>
      </c>
      <c r="Q126" s="59">
        <f t="shared" si="31"/>
        <v>0</v>
      </c>
      <c r="R126" s="59">
        <f t="shared" si="32"/>
        <v>0.15088390529419327</v>
      </c>
      <c r="S126" s="59">
        <f t="shared" si="33"/>
        <v>9.3499313902071779E-2</v>
      </c>
      <c r="T126" s="59">
        <f t="shared" si="34"/>
        <v>3.8914011589760669E-2</v>
      </c>
      <c r="U126" s="59">
        <f t="shared" si="35"/>
        <v>3.6414734951687351E-2</v>
      </c>
      <c r="V126" s="59">
        <f t="shared" si="36"/>
        <v>2.6756383328765523E-2</v>
      </c>
      <c r="W126" s="59">
        <f t="shared" si="37"/>
        <v>2.4443214995803549E-2</v>
      </c>
      <c r="X126" s="59">
        <f t="shared" si="38"/>
        <v>4.7676599753748113E-2</v>
      </c>
      <c r="Y126" s="60">
        <f t="shared" si="39"/>
        <v>1.4820461749641764E-2</v>
      </c>
      <c r="Z126" s="60">
        <f t="shared" si="40"/>
        <v>5.4473517660331906E-2</v>
      </c>
      <c r="AB126" s="68"/>
      <c r="AC126" s="59">
        <f t="shared" si="53"/>
        <v>0.20898939863045674</v>
      </c>
      <c r="AD126" s="59">
        <f t="shared" si="53"/>
        <v>-1</v>
      </c>
      <c r="AE126" s="59" t="str">
        <f t="shared" si="53"/>
        <v/>
      </c>
      <c r="AF126" s="59">
        <f t="shared" si="53"/>
        <v>-0.10651316298597424</v>
      </c>
      <c r="AG126" s="59">
        <f t="shared" si="55"/>
        <v>-0.54546613988717585</v>
      </c>
      <c r="AH126" s="59">
        <f t="shared" si="55"/>
        <v>0.78827626209007851</v>
      </c>
      <c r="AI126" s="59">
        <f t="shared" si="55"/>
        <v>0.97256885449953212</v>
      </c>
      <c r="AJ126" s="59">
        <f t="shared" si="55"/>
        <v>-0.52905133606257415</v>
      </c>
      <c r="AK126" s="59">
        <f t="shared" si="54"/>
        <v>2.0531771281061011</v>
      </c>
      <c r="AL126" s="59">
        <f t="shared" si="54"/>
        <v>-0.51582126214644375</v>
      </c>
      <c r="AM126" s="65">
        <f t="shared" si="41"/>
        <v>0.14735108247155559</v>
      </c>
      <c r="AO126" s="58"/>
      <c r="AP126" s="59">
        <f t="shared" si="42"/>
        <v>0.11171438954524771</v>
      </c>
      <c r="AQ126" s="59">
        <f t="shared" si="43"/>
        <v>-1</v>
      </c>
      <c r="AR126" s="59">
        <f t="shared" si="44"/>
        <v>0</v>
      </c>
      <c r="AS126" s="59">
        <f t="shared" si="45"/>
        <v>-0.1609664409672027</v>
      </c>
      <c r="AT126" s="59">
        <f t="shared" si="46"/>
        <v>-0.5691521007425524</v>
      </c>
      <c r="AU126" s="59">
        <f t="shared" si="47"/>
        <v>0.70551482336501548</v>
      </c>
      <c r="AV126" s="59">
        <f t="shared" si="48"/>
        <v>0.88798703531731649</v>
      </c>
      <c r="AW126" s="59">
        <f t="shared" si="49"/>
        <v>-0.55440565433113265</v>
      </c>
      <c r="AX126" s="59">
        <f t="shared" si="50"/>
        <v>1.8356804384750638</v>
      </c>
      <c r="AY126" s="59">
        <f t="shared" si="51"/>
        <v>-0.52531496288867041</v>
      </c>
      <c r="AZ126" s="65">
        <f t="shared" si="52"/>
        <v>7.3105752777308533E-2</v>
      </c>
    </row>
    <row r="127" spans="1:52" ht="25.5">
      <c r="A127" s="515" t="s">
        <v>57</v>
      </c>
      <c r="B127" s="495">
        <v>4226072</v>
      </c>
      <c r="C127" s="496">
        <v>4323822</v>
      </c>
      <c r="D127" s="496">
        <v>1650000</v>
      </c>
      <c r="E127" s="496">
        <v>4022122</v>
      </c>
      <c r="F127" s="496">
        <v>4963156</v>
      </c>
      <c r="G127" s="496">
        <v>4836656</v>
      </c>
      <c r="H127" s="496">
        <v>6519212</v>
      </c>
      <c r="I127" s="496">
        <v>9219191</v>
      </c>
      <c r="J127" s="496">
        <v>8377616</v>
      </c>
      <c r="K127" s="496">
        <v>11592959</v>
      </c>
      <c r="L127" s="497">
        <v>13775106</v>
      </c>
      <c r="M127" s="463"/>
      <c r="O127" s="58">
        <f t="shared" si="29"/>
        <v>0.10566522476680662</v>
      </c>
      <c r="P127" s="59">
        <f t="shared" si="30"/>
        <v>0.21283165868351014</v>
      </c>
      <c r="Q127" s="59">
        <f t="shared" si="31"/>
        <v>0.16438701725137136</v>
      </c>
      <c r="R127" s="59">
        <f t="shared" si="32"/>
        <v>0.25804396545728853</v>
      </c>
      <c r="S127" s="59">
        <f t="shared" si="33"/>
        <v>0.22083796809292008</v>
      </c>
      <c r="T127" s="59">
        <f t="shared" si="34"/>
        <v>0.19705722163209044</v>
      </c>
      <c r="U127" s="59">
        <f t="shared" si="35"/>
        <v>0.13898847735793779</v>
      </c>
      <c r="V127" s="59">
        <f t="shared" si="36"/>
        <v>7.321407672557155E-2</v>
      </c>
      <c r="W127" s="59">
        <f t="shared" si="37"/>
        <v>0.1290564089857818</v>
      </c>
      <c r="X127" s="59">
        <f t="shared" si="38"/>
        <v>0.11409020826698428</v>
      </c>
      <c r="Y127" s="60">
        <f t="shared" si="39"/>
        <v>8.7036169419999157E-2</v>
      </c>
      <c r="Z127" s="60">
        <f t="shared" si="40"/>
        <v>0.15465530878547834</v>
      </c>
      <c r="AB127" s="68"/>
      <c r="AC127" s="59">
        <f t="shared" si="53"/>
        <v>2.3130225892980416E-2</v>
      </c>
      <c r="AD127" s="59">
        <f t="shared" si="53"/>
        <v>-0.61839317159679563</v>
      </c>
      <c r="AE127" s="59">
        <f t="shared" si="53"/>
        <v>1.437649696969697</v>
      </c>
      <c r="AF127" s="59">
        <f t="shared" si="53"/>
        <v>0.233964559006415</v>
      </c>
      <c r="AG127" s="59">
        <f t="shared" si="55"/>
        <v>-2.5487814608285531E-2</v>
      </c>
      <c r="AH127" s="59">
        <f t="shared" si="55"/>
        <v>0.34787588780347423</v>
      </c>
      <c r="AI127" s="59">
        <f t="shared" si="55"/>
        <v>0.41415726317843315</v>
      </c>
      <c r="AJ127" s="59">
        <f t="shared" si="55"/>
        <v>-9.1285124692611297E-2</v>
      </c>
      <c r="AK127" s="59">
        <f t="shared" si="54"/>
        <v>0.3838016686369965</v>
      </c>
      <c r="AL127" s="59">
        <f t="shared" si="54"/>
        <v>0.18823037328088543</v>
      </c>
      <c r="AM127" s="65">
        <f t="shared" si="41"/>
        <v>0.22936435638711891</v>
      </c>
      <c r="AO127" s="58"/>
      <c r="AP127" s="59">
        <f t="shared" si="42"/>
        <v>-5.9190596880017932E-2</v>
      </c>
      <c r="AQ127" s="59">
        <f t="shared" si="43"/>
        <v>-0.64551153887301038</v>
      </c>
      <c r="AR127" s="59">
        <f t="shared" si="44"/>
        <v>1.2783902205530393</v>
      </c>
      <c r="AS127" s="59">
        <f t="shared" si="45"/>
        <v>0.15876097192827032</v>
      </c>
      <c r="AT127" s="59">
        <f t="shared" si="46"/>
        <v>-7.6270076397420561E-2</v>
      </c>
      <c r="AU127" s="59">
        <f t="shared" si="47"/>
        <v>0.28549618167962376</v>
      </c>
      <c r="AV127" s="59">
        <f t="shared" si="48"/>
        <v>0.35351958573739783</v>
      </c>
      <c r="AW127" s="59">
        <f t="shared" si="49"/>
        <v>-0.14020732774397882</v>
      </c>
      <c r="AX127" s="59">
        <f t="shared" si="50"/>
        <v>0.28522491746725787</v>
      </c>
      <c r="AY127" s="59">
        <f t="shared" si="51"/>
        <v>0.16493173851067189</v>
      </c>
      <c r="AZ127" s="65">
        <f t="shared" si="52"/>
        <v>0.16051440759818331</v>
      </c>
    </row>
    <row r="128" spans="1:52" ht="51">
      <c r="A128" s="515" t="s">
        <v>58</v>
      </c>
      <c r="B128" s="495">
        <v>2745000</v>
      </c>
      <c r="C128" s="496">
        <v>90000</v>
      </c>
      <c r="D128" s="496">
        <v>90000</v>
      </c>
      <c r="E128" s="496">
        <v>90000</v>
      </c>
      <c r="F128" s="496">
        <v>784398</v>
      </c>
      <c r="G128" s="496">
        <v>784398</v>
      </c>
      <c r="H128" s="496">
        <v>829398</v>
      </c>
      <c r="I128" s="496"/>
      <c r="J128" s="496">
        <v>40914</v>
      </c>
      <c r="K128" s="496">
        <v>739398</v>
      </c>
      <c r="L128" s="497">
        <v>5525577</v>
      </c>
      <c r="M128" s="463"/>
      <c r="O128" s="58">
        <f t="shared" si="29"/>
        <v>6.8633719914115085E-2</v>
      </c>
      <c r="P128" s="59">
        <f t="shared" si="30"/>
        <v>4.4300735047640523E-3</v>
      </c>
      <c r="Q128" s="59">
        <f t="shared" si="31"/>
        <v>8.9665645773475289E-3</v>
      </c>
      <c r="R128" s="59">
        <f t="shared" si="32"/>
        <v>5.7740558071475625E-3</v>
      </c>
      <c r="S128" s="59">
        <f t="shared" si="33"/>
        <v>3.4902159129422954E-2</v>
      </c>
      <c r="T128" s="59">
        <f t="shared" si="34"/>
        <v>3.1958297330587186E-2</v>
      </c>
      <c r="U128" s="59">
        <f t="shared" si="35"/>
        <v>1.7682622553725647E-2</v>
      </c>
      <c r="V128" s="59">
        <f t="shared" si="36"/>
        <v>0</v>
      </c>
      <c r="W128" s="59">
        <f t="shared" si="37"/>
        <v>6.3027643153425465E-4</v>
      </c>
      <c r="X128" s="59">
        <f t="shared" si="38"/>
        <v>7.2766643798353502E-3</v>
      </c>
      <c r="Y128" s="60">
        <f t="shared" si="39"/>
        <v>3.4912621065511268E-2</v>
      </c>
      <c r="Z128" s="60">
        <f t="shared" si="40"/>
        <v>1.9560641335817357E-2</v>
      </c>
      <c r="AB128" s="68"/>
      <c r="AC128" s="59">
        <f t="shared" si="53"/>
        <v>-0.96721311475409832</v>
      </c>
      <c r="AD128" s="59">
        <f t="shared" si="53"/>
        <v>0</v>
      </c>
      <c r="AE128" s="59">
        <f t="shared" si="53"/>
        <v>0</v>
      </c>
      <c r="AF128" s="59">
        <f t="shared" si="53"/>
        <v>7.7155333333333331</v>
      </c>
      <c r="AG128" s="59">
        <f t="shared" si="55"/>
        <v>0</v>
      </c>
      <c r="AH128" s="59">
        <f t="shared" si="55"/>
        <v>5.7368835718601963E-2</v>
      </c>
      <c r="AI128" s="59">
        <f t="shared" si="55"/>
        <v>-1</v>
      </c>
      <c r="AJ128" s="59" t="str">
        <f t="shared" si="55"/>
        <v/>
      </c>
      <c r="AK128" s="59">
        <f t="shared" si="54"/>
        <v>17.0720046927702</v>
      </c>
      <c r="AL128" s="59">
        <f t="shared" si="54"/>
        <v>6.4730753937662797</v>
      </c>
      <c r="AM128" s="65">
        <f t="shared" si="41"/>
        <v>3.2611965712038131</v>
      </c>
      <c r="AO128" s="58"/>
      <c r="AP128" s="59">
        <f t="shared" si="42"/>
        <v>-0.9698511400037686</v>
      </c>
      <c r="AQ128" s="59">
        <f t="shared" si="43"/>
        <v>-7.1063632141198374E-2</v>
      </c>
      <c r="AR128" s="59">
        <f t="shared" si="44"/>
        <v>-6.5333208711094604E-2</v>
      </c>
      <c r="AS128" s="59">
        <f t="shared" si="45"/>
        <v>7.1843678592669118</v>
      </c>
      <c r="AT128" s="59">
        <f t="shared" si="46"/>
        <v>-5.2110443102076465E-2</v>
      </c>
      <c r="AU128" s="59">
        <f t="shared" si="47"/>
        <v>8.4337981283595376E-3</v>
      </c>
      <c r="AV128" s="59">
        <f t="shared" si="48"/>
        <v>-1</v>
      </c>
      <c r="AW128" s="59">
        <f t="shared" si="49"/>
        <v>0</v>
      </c>
      <c r="AX128" s="59">
        <f t="shared" si="50"/>
        <v>15.784624029692765</v>
      </c>
      <c r="AY128" s="59">
        <f t="shared" si="51"/>
        <v>6.326544503692431</v>
      </c>
      <c r="AZ128" s="65">
        <f t="shared" si="52"/>
        <v>2.7145611766822331</v>
      </c>
    </row>
    <row r="129" spans="1:52" ht="38.25">
      <c r="A129" s="515" t="s">
        <v>59</v>
      </c>
      <c r="B129" s="495">
        <v>2745000</v>
      </c>
      <c r="C129" s="496">
        <v>90000</v>
      </c>
      <c r="D129" s="496">
        <v>90000</v>
      </c>
      <c r="E129" s="496">
        <v>90000</v>
      </c>
      <c r="F129" s="496">
        <v>784398</v>
      </c>
      <c r="G129" s="496">
        <v>784398</v>
      </c>
      <c r="H129" s="496">
        <v>829398</v>
      </c>
      <c r="I129" s="496"/>
      <c r="J129" s="496">
        <v>40914</v>
      </c>
      <c r="K129" s="496">
        <v>739398</v>
      </c>
      <c r="L129" s="497">
        <v>5525577</v>
      </c>
      <c r="M129" s="463"/>
      <c r="O129" s="58">
        <f t="shared" si="29"/>
        <v>6.8633719914115085E-2</v>
      </c>
      <c r="P129" s="59">
        <f t="shared" si="30"/>
        <v>4.4300735047640523E-3</v>
      </c>
      <c r="Q129" s="59">
        <f t="shared" si="31"/>
        <v>8.9665645773475289E-3</v>
      </c>
      <c r="R129" s="59">
        <f t="shared" si="32"/>
        <v>5.7740558071475625E-3</v>
      </c>
      <c r="S129" s="59">
        <f t="shared" si="33"/>
        <v>3.4902159129422954E-2</v>
      </c>
      <c r="T129" s="59">
        <f t="shared" si="34"/>
        <v>3.1958297330587186E-2</v>
      </c>
      <c r="U129" s="59">
        <f t="shared" si="35"/>
        <v>1.7682622553725647E-2</v>
      </c>
      <c r="V129" s="59">
        <f t="shared" si="36"/>
        <v>0</v>
      </c>
      <c r="W129" s="59">
        <f t="shared" si="37"/>
        <v>6.3027643153425465E-4</v>
      </c>
      <c r="X129" s="59">
        <f t="shared" si="38"/>
        <v>7.2766643798353502E-3</v>
      </c>
      <c r="Y129" s="60">
        <f t="shared" si="39"/>
        <v>3.4912621065511268E-2</v>
      </c>
      <c r="Z129" s="60">
        <f t="shared" si="40"/>
        <v>1.9560641335817357E-2</v>
      </c>
      <c r="AB129" s="68"/>
      <c r="AC129" s="59">
        <f t="shared" si="53"/>
        <v>-0.96721311475409832</v>
      </c>
      <c r="AD129" s="59">
        <f t="shared" si="53"/>
        <v>0</v>
      </c>
      <c r="AE129" s="59">
        <f t="shared" si="53"/>
        <v>0</v>
      </c>
      <c r="AF129" s="59">
        <f t="shared" si="53"/>
        <v>7.7155333333333331</v>
      </c>
      <c r="AG129" s="59">
        <f t="shared" si="55"/>
        <v>0</v>
      </c>
      <c r="AH129" s="59">
        <f t="shared" si="55"/>
        <v>5.7368835718601963E-2</v>
      </c>
      <c r="AI129" s="59">
        <f t="shared" si="55"/>
        <v>-1</v>
      </c>
      <c r="AJ129" s="59" t="str">
        <f t="shared" si="55"/>
        <v/>
      </c>
      <c r="AK129" s="59">
        <f t="shared" si="54"/>
        <v>17.0720046927702</v>
      </c>
      <c r="AL129" s="59">
        <f t="shared" si="54"/>
        <v>6.4730753937662797</v>
      </c>
      <c r="AM129" s="65">
        <f t="shared" si="41"/>
        <v>3.2611965712038131</v>
      </c>
      <c r="AO129" s="58"/>
      <c r="AP129" s="59">
        <f t="shared" si="42"/>
        <v>-0.9698511400037686</v>
      </c>
      <c r="AQ129" s="59">
        <f t="shared" si="43"/>
        <v>-7.1063632141198374E-2</v>
      </c>
      <c r="AR129" s="59">
        <f t="shared" si="44"/>
        <v>-6.5333208711094604E-2</v>
      </c>
      <c r="AS129" s="59">
        <f t="shared" si="45"/>
        <v>7.1843678592669118</v>
      </c>
      <c r="AT129" s="59">
        <f t="shared" si="46"/>
        <v>-5.2110443102076465E-2</v>
      </c>
      <c r="AU129" s="59">
        <f t="shared" si="47"/>
        <v>8.4337981283595376E-3</v>
      </c>
      <c r="AV129" s="59">
        <f t="shared" si="48"/>
        <v>-1</v>
      </c>
      <c r="AW129" s="59">
        <f t="shared" si="49"/>
        <v>0</v>
      </c>
      <c r="AX129" s="59">
        <f t="shared" si="50"/>
        <v>15.784624029692765</v>
      </c>
      <c r="AY129" s="59">
        <f t="shared" si="51"/>
        <v>6.326544503692431</v>
      </c>
      <c r="AZ129" s="65">
        <f t="shared" si="52"/>
        <v>2.7145611766822331</v>
      </c>
    </row>
    <row r="130" spans="1:52">
      <c r="A130" s="515" t="s">
        <v>60</v>
      </c>
      <c r="B130" s="495">
        <v>381915</v>
      </c>
      <c r="C130" s="496">
        <v>544034</v>
      </c>
      <c r="D130" s="496">
        <v>76474</v>
      </c>
      <c r="E130" s="496">
        <v>273165</v>
      </c>
      <c r="F130" s="496">
        <v>843949</v>
      </c>
      <c r="G130" s="496">
        <v>944536</v>
      </c>
      <c r="H130" s="496">
        <v>1002689</v>
      </c>
      <c r="I130" s="496">
        <v>1520012</v>
      </c>
      <c r="J130" s="496">
        <v>1078264</v>
      </c>
      <c r="K130" s="496">
        <v>1631119</v>
      </c>
      <c r="L130" s="497">
        <v>2705071</v>
      </c>
      <c r="M130" s="463"/>
      <c r="O130" s="58">
        <f t="shared" si="29"/>
        <v>9.5490882116572914E-3</v>
      </c>
      <c r="P130" s="59">
        <f t="shared" si="30"/>
        <v>2.6779006767675625E-2</v>
      </c>
      <c r="Q130" s="59">
        <f t="shared" si="31"/>
        <v>7.6189895498674992E-3</v>
      </c>
      <c r="R130" s="59">
        <f t="shared" si="32"/>
        <v>1.7525221717327379E-2</v>
      </c>
      <c r="S130" s="59">
        <f t="shared" si="33"/>
        <v>3.7551908973655436E-2</v>
      </c>
      <c r="T130" s="59">
        <f t="shared" si="34"/>
        <v>3.8482712000086051E-2</v>
      </c>
      <c r="U130" s="59">
        <f t="shared" si="35"/>
        <v>2.1377156836371217E-2</v>
      </c>
      <c r="V130" s="59">
        <f t="shared" si="36"/>
        <v>1.2071154094951441E-2</v>
      </c>
      <c r="W130" s="59">
        <f t="shared" si="37"/>
        <v>1.6610558394971196E-2</v>
      </c>
      <c r="X130" s="59">
        <f t="shared" si="38"/>
        <v>1.605239062936694E-2</v>
      </c>
      <c r="Y130" s="60">
        <f t="shared" si="39"/>
        <v>1.7091630209533526E-2</v>
      </c>
      <c r="Z130" s="60">
        <f t="shared" si="40"/>
        <v>2.0064528853223965E-2</v>
      </c>
      <c r="AB130" s="68"/>
      <c r="AC130" s="59">
        <f t="shared" si="53"/>
        <v>0.4244897424819658</v>
      </c>
      <c r="AD130" s="59">
        <f t="shared" si="53"/>
        <v>-0.85943157964391936</v>
      </c>
      <c r="AE130" s="59">
        <f t="shared" si="53"/>
        <v>2.5719983262285222</v>
      </c>
      <c r="AF130" s="59">
        <f t="shared" si="53"/>
        <v>2.0895209854849632</v>
      </c>
      <c r="AG130" s="59">
        <f t="shared" si="55"/>
        <v>0.11918611195700213</v>
      </c>
      <c r="AH130" s="59">
        <f t="shared" si="55"/>
        <v>6.1567796251281059E-2</v>
      </c>
      <c r="AI130" s="59">
        <f t="shared" si="55"/>
        <v>0.51593564903973221</v>
      </c>
      <c r="AJ130" s="59">
        <f t="shared" si="55"/>
        <v>-0.29062138983113295</v>
      </c>
      <c r="AK130" s="59">
        <f t="shared" si="54"/>
        <v>0.51272693885727438</v>
      </c>
      <c r="AL130" s="59">
        <f t="shared" si="54"/>
        <v>0.6584142542634841</v>
      </c>
      <c r="AM130" s="65">
        <f t="shared" si="41"/>
        <v>0.5803786835089173</v>
      </c>
      <c r="AO130" s="58"/>
      <c r="AP130" s="59">
        <f t="shared" si="42"/>
        <v>0.30987562527077328</v>
      </c>
      <c r="AQ130" s="59">
        <f t="shared" si="43"/>
        <v>-0.86942088215877322</v>
      </c>
      <c r="AR130" s="59">
        <f t="shared" si="44"/>
        <v>2.3386282140653538</v>
      </c>
      <c r="AS130" s="59">
        <f t="shared" si="45"/>
        <v>1.9012310878814569</v>
      </c>
      <c r="AT130" s="59">
        <f t="shared" si="46"/>
        <v>6.0864827749232742E-2</v>
      </c>
      <c r="AU130" s="59">
        <f t="shared" si="47"/>
        <v>1.2438430736320782E-2</v>
      </c>
      <c r="AV130" s="59">
        <f t="shared" si="48"/>
        <v>0.45093381416513423</v>
      </c>
      <c r="AW130" s="59">
        <f t="shared" si="49"/>
        <v>-0.32881198772933384</v>
      </c>
      <c r="AX130" s="59">
        <f t="shared" si="50"/>
        <v>0.40496604333358821</v>
      </c>
      <c r="AY130" s="59">
        <f t="shared" si="51"/>
        <v>0.62589632770929815</v>
      </c>
      <c r="AZ130" s="65">
        <f t="shared" si="52"/>
        <v>0.49066015010230507</v>
      </c>
    </row>
    <row r="131" spans="1:52" ht="51">
      <c r="A131" s="515" t="s">
        <v>61</v>
      </c>
      <c r="B131" s="495">
        <v>16460675</v>
      </c>
      <c r="C131" s="496">
        <v>3783710</v>
      </c>
      <c r="D131" s="496">
        <v>1206352</v>
      </c>
      <c r="E131" s="496">
        <v>3091003</v>
      </c>
      <c r="F131" s="496">
        <v>4718328</v>
      </c>
      <c r="G131" s="496">
        <v>6053446</v>
      </c>
      <c r="H131" s="496">
        <v>7553649</v>
      </c>
      <c r="I131" s="496">
        <v>11078125</v>
      </c>
      <c r="J131" s="496">
        <v>5537709</v>
      </c>
      <c r="K131" s="496">
        <v>9477759</v>
      </c>
      <c r="L131" s="497">
        <v>7369358</v>
      </c>
      <c r="M131" s="463"/>
      <c r="O131" s="58">
        <f t="shared" si="29"/>
        <v>0.41156916486239575</v>
      </c>
      <c r="P131" s="59">
        <f t="shared" si="30"/>
        <v>0.18624570467456433</v>
      </c>
      <c r="Q131" s="59">
        <f t="shared" si="31"/>
        <v>0.12018703456680385</v>
      </c>
      <c r="R131" s="59">
        <f t="shared" si="32"/>
        <v>0.19830693135622821</v>
      </c>
      <c r="S131" s="59">
        <f t="shared" si="33"/>
        <v>0.20994423071044541</v>
      </c>
      <c r="T131" s="59">
        <f t="shared" si="34"/>
        <v>0.24663222897388018</v>
      </c>
      <c r="U131" s="59">
        <f t="shared" si="35"/>
        <v>0.16104249608791821</v>
      </c>
      <c r="V131" s="59">
        <f t="shared" si="36"/>
        <v>8.7976775155810566E-2</v>
      </c>
      <c r="W131" s="59">
        <f t="shared" si="37"/>
        <v>8.5307901143743606E-2</v>
      </c>
      <c r="X131" s="59">
        <f t="shared" si="38"/>
        <v>9.3273813718679127E-2</v>
      </c>
      <c r="Y131" s="60">
        <f t="shared" si="39"/>
        <v>4.6562305321253147E-2</v>
      </c>
      <c r="Z131" s="60">
        <f t="shared" si="40"/>
        <v>0.16791350787015658</v>
      </c>
      <c r="AB131" s="68"/>
      <c r="AC131" s="59">
        <f t="shared" si="53"/>
        <v>-0.77013640084625934</v>
      </c>
      <c r="AD131" s="59">
        <f t="shared" si="53"/>
        <v>-0.68117218285756564</v>
      </c>
      <c r="AE131" s="59">
        <f t="shared" si="53"/>
        <v>1.5622728689470402</v>
      </c>
      <c r="AF131" s="59">
        <f t="shared" si="53"/>
        <v>0.52647150455693503</v>
      </c>
      <c r="AG131" s="59">
        <f t="shared" si="55"/>
        <v>0.28296421952861261</v>
      </c>
      <c r="AH131" s="59">
        <f t="shared" si="55"/>
        <v>0.24782627944479896</v>
      </c>
      <c r="AI131" s="59">
        <f t="shared" si="55"/>
        <v>0.46659250383490147</v>
      </c>
      <c r="AJ131" s="59">
        <f t="shared" si="55"/>
        <v>-0.50012217771509171</v>
      </c>
      <c r="AK131" s="59">
        <f t="shared" si="54"/>
        <v>0.71149459099421808</v>
      </c>
      <c r="AL131" s="59">
        <f t="shared" si="54"/>
        <v>-0.22245775610036089</v>
      </c>
      <c r="AM131" s="65">
        <f t="shared" si="41"/>
        <v>0.16237334497872288</v>
      </c>
      <c r="AO131" s="58"/>
      <c r="AP131" s="59">
        <f t="shared" si="42"/>
        <v>-0.78863117319196263</v>
      </c>
      <c r="AQ131" s="59">
        <f t="shared" si="43"/>
        <v>-0.70382924557135684</v>
      </c>
      <c r="AR131" s="59">
        <f t="shared" si="44"/>
        <v>1.394871360825348</v>
      </c>
      <c r="AS131" s="59">
        <f t="shared" si="45"/>
        <v>0.43344117246402014</v>
      </c>
      <c r="AT131" s="59">
        <f t="shared" si="46"/>
        <v>0.21610838556486689</v>
      </c>
      <c r="AU131" s="59">
        <f t="shared" si="47"/>
        <v>0.1900768699407589</v>
      </c>
      <c r="AV131" s="59">
        <f t="shared" si="48"/>
        <v>0.40370645466587063</v>
      </c>
      <c r="AW131" s="59">
        <f t="shared" si="49"/>
        <v>-0.52703394617758703</v>
      </c>
      <c r="AX131" s="59">
        <f t="shared" si="50"/>
        <v>0.58957424630279376</v>
      </c>
      <c r="AY131" s="59">
        <f t="shared" si="51"/>
        <v>-0.23770368245133422</v>
      </c>
      <c r="AZ131" s="65">
        <f t="shared" si="52"/>
        <v>9.7058044237141761E-2</v>
      </c>
    </row>
    <row r="132" spans="1:52" ht="25.5">
      <c r="A132" s="515" t="s">
        <v>62</v>
      </c>
      <c r="B132" s="495">
        <v>-16850743</v>
      </c>
      <c r="C132" s="496">
        <v>6784345</v>
      </c>
      <c r="D132" s="496">
        <v>681439</v>
      </c>
      <c r="E132" s="496">
        <v>27521</v>
      </c>
      <c r="F132" s="496">
        <v>-1238582</v>
      </c>
      <c r="G132" s="496">
        <v>452662</v>
      </c>
      <c r="H132" s="496">
        <v>1445298</v>
      </c>
      <c r="I132" s="496">
        <v>2788434</v>
      </c>
      <c r="J132" s="496">
        <v>6553718</v>
      </c>
      <c r="K132" s="496">
        <v>4253244</v>
      </c>
      <c r="L132" s="497">
        <v>4594065</v>
      </c>
      <c r="M132" s="463"/>
      <c r="O132" s="58">
        <f t="shared" si="29"/>
        <v>-0.42132210397330982</v>
      </c>
      <c r="P132" s="59">
        <f t="shared" si="30"/>
        <v>0.33394607812976079</v>
      </c>
      <c r="Q132" s="59">
        <f t="shared" si="31"/>
        <v>6.7890742211368024E-2</v>
      </c>
      <c r="R132" s="59">
        <f t="shared" si="32"/>
        <v>1.7656421096500896E-3</v>
      </c>
      <c r="S132" s="59">
        <f t="shared" si="33"/>
        <v>-5.5111290516853616E-2</v>
      </c>
      <c r="T132" s="59">
        <f t="shared" si="34"/>
        <v>1.844255949946106E-2</v>
      </c>
      <c r="U132" s="59">
        <f t="shared" si="35"/>
        <v>3.0813504507672517E-2</v>
      </c>
      <c r="V132" s="59">
        <f t="shared" si="36"/>
        <v>2.2144309714398194E-2</v>
      </c>
      <c r="W132" s="59">
        <f t="shared" si="37"/>
        <v>0.10095942695218782</v>
      </c>
      <c r="X132" s="59">
        <f t="shared" si="38"/>
        <v>4.1857604583118192E-2</v>
      </c>
      <c r="Y132" s="60">
        <f t="shared" si="39"/>
        <v>2.9026986773567364E-2</v>
      </c>
      <c r="Z132" s="60">
        <f t="shared" si="40"/>
        <v>1.5492132726456416E-2</v>
      </c>
      <c r="AB132" s="68"/>
      <c r="AC132" s="59">
        <f t="shared" si="53"/>
        <v>-1.4026139974955407</v>
      </c>
      <c r="AD132" s="59">
        <f t="shared" si="53"/>
        <v>-0.89955714221490801</v>
      </c>
      <c r="AE132" s="59">
        <f t="shared" si="53"/>
        <v>-0.95961340633571013</v>
      </c>
      <c r="AF132" s="59">
        <f t="shared" si="53"/>
        <v>-46.004978016787177</v>
      </c>
      <c r="AG132" s="59">
        <f t="shared" si="55"/>
        <v>-1.365467930262187</v>
      </c>
      <c r="AH132" s="59">
        <f t="shared" si="55"/>
        <v>2.1928856409418063</v>
      </c>
      <c r="AI132" s="59">
        <f t="shared" si="55"/>
        <v>0.92931423139034308</v>
      </c>
      <c r="AJ132" s="59">
        <f t="shared" si="55"/>
        <v>1.3503220804222011</v>
      </c>
      <c r="AK132" s="59">
        <f t="shared" si="54"/>
        <v>-0.35101815488551691</v>
      </c>
      <c r="AL132" s="59">
        <f t="shared" si="54"/>
        <v>8.0132012177058343E-2</v>
      </c>
      <c r="AM132" s="65">
        <f t="shared" si="41"/>
        <v>-4.6430594683049629</v>
      </c>
      <c r="AO132" s="58"/>
      <c r="AP132" s="59">
        <f t="shared" si="42"/>
        <v>-1.3702197678119914</v>
      </c>
      <c r="AQ132" s="59">
        <f t="shared" si="43"/>
        <v>-0.90669497651175845</v>
      </c>
      <c r="AR132" s="59">
        <f t="shared" si="44"/>
        <v>-0.96225199208870937</v>
      </c>
      <c r="AS132" s="59">
        <f t="shared" si="45"/>
        <v>-43.262163599199155</v>
      </c>
      <c r="AT132" s="59">
        <f t="shared" si="46"/>
        <v>-1.3464232344766258</v>
      </c>
      <c r="AU132" s="59">
        <f t="shared" si="47"/>
        <v>2.0451188697047411</v>
      </c>
      <c r="AV132" s="59">
        <f t="shared" si="48"/>
        <v>0.84658712805354441</v>
      </c>
      <c r="AW132" s="59">
        <f t="shared" si="49"/>
        <v>1.2237885139769147</v>
      </c>
      <c r="AX132" s="59">
        <f t="shared" si="50"/>
        <v>-0.39724914543096213</v>
      </c>
      <c r="AY132" s="59">
        <f t="shared" si="51"/>
        <v>5.8952953114763007E-2</v>
      </c>
      <c r="AZ132" s="65">
        <f t="shared" si="52"/>
        <v>-4.4070555250669239</v>
      </c>
    </row>
    <row r="133" spans="1:52" ht="38.25">
      <c r="A133" s="515" t="s">
        <v>237</v>
      </c>
      <c r="B133" s="495"/>
      <c r="C133" s="496"/>
      <c r="D133" s="496"/>
      <c r="E133" s="496"/>
      <c r="F133" s="496"/>
      <c r="G133" s="496"/>
      <c r="H133" s="496"/>
      <c r="I133" s="496"/>
      <c r="J133" s="496">
        <v>4078784</v>
      </c>
      <c r="K133" s="496">
        <v>11408628</v>
      </c>
      <c r="L133" s="497">
        <v>13873268</v>
      </c>
      <c r="M133" s="463"/>
      <c r="O133" s="58">
        <f t="shared" ref="O133:O138" si="56">B133/$B$69</f>
        <v>0</v>
      </c>
      <c r="P133" s="59">
        <f t="shared" ref="P133:P138" si="57">C133/$C$69</f>
        <v>0</v>
      </c>
      <c r="Q133" s="59">
        <f t="shared" ref="Q133:Q138" si="58">D133/$D$69</f>
        <v>0</v>
      </c>
      <c r="R133" s="59">
        <f t="shared" ref="R133:R138" si="59">E133/$E$69</f>
        <v>0</v>
      </c>
      <c r="S133" s="59">
        <f t="shared" ref="S133:S138" si="60">F133/$F$69</f>
        <v>0</v>
      </c>
      <c r="T133" s="59">
        <f t="shared" ref="T133:T138" si="61">G133/$G$69</f>
        <v>0</v>
      </c>
      <c r="U133" s="59">
        <f t="shared" ref="U133:U138" si="62">H133/$H$69</f>
        <v>0</v>
      </c>
      <c r="V133" s="59">
        <f t="shared" ref="V133:V138" si="63">I133/$I$69</f>
        <v>0</v>
      </c>
      <c r="W133" s="59">
        <f t="shared" ref="W133:W138" si="64">J133/$J$69</f>
        <v>6.2833294826196734E-2</v>
      </c>
      <c r="X133" s="59">
        <f t="shared" ref="X133:X138" si="65">K133/$K$69</f>
        <v>0.11227614490489859</v>
      </c>
      <c r="Y133" s="60">
        <f t="shared" ref="Y133:Y138" si="66">L133/$L$69</f>
        <v>8.7656392920464857E-2</v>
      </c>
      <c r="Z133" s="60">
        <f t="shared" ref="Z133:Z138" si="67">AVERAGE(O133:Y133)</f>
        <v>2.3887802968323654E-2</v>
      </c>
      <c r="AB133" s="68"/>
      <c r="AC133" s="59" t="str">
        <f t="shared" si="53"/>
        <v/>
      </c>
      <c r="AD133" s="59" t="str">
        <f t="shared" si="53"/>
        <v/>
      </c>
      <c r="AE133" s="59" t="str">
        <f t="shared" si="53"/>
        <v/>
      </c>
      <c r="AF133" s="59" t="str">
        <f t="shared" ref="AF133:AF140" si="68">+IF(E133=0,"",F133/E133-1)</f>
        <v/>
      </c>
      <c r="AG133" s="59" t="str">
        <f t="shared" si="55"/>
        <v/>
      </c>
      <c r="AH133" s="59" t="str">
        <f t="shared" si="55"/>
        <v/>
      </c>
      <c r="AI133" s="59" t="str">
        <f t="shared" si="55"/>
        <v/>
      </c>
      <c r="AJ133" s="59" t="str">
        <f t="shared" si="55"/>
        <v/>
      </c>
      <c r="AK133" s="59">
        <f t="shared" si="54"/>
        <v>1.7970659882945506</v>
      </c>
      <c r="AL133" s="59">
        <f t="shared" si="54"/>
        <v>0.21603298836634877</v>
      </c>
      <c r="AM133" s="65">
        <f t="shared" ref="AM133:AM138" si="69">AVERAGE(AB133:AL133)</f>
        <v>1.0065494883304495</v>
      </c>
      <c r="AO133" s="58"/>
      <c r="AP133" s="59">
        <f t="shared" ref="AP133:AP137" si="70">IF(AC133="",,(((AC133+1)/($C$183+1))-1))</f>
        <v>0</v>
      </c>
      <c r="AQ133" s="59">
        <f t="shared" ref="AQ133:AQ138" si="71">IF(AD133="",,(((AD133+1)/($D$183+1))-1))</f>
        <v>0</v>
      </c>
      <c r="AR133" s="59">
        <f t="shared" ref="AR133:AR138" si="72">IF(AE133="",,(((AE133+1)/($E$183+1))-1))</f>
        <v>0</v>
      </c>
      <c r="AS133" s="59">
        <f t="shared" ref="AS133:AS138" si="73">IF(AF133="",,(((AF133+1)/($F$183+1))-1))</f>
        <v>0</v>
      </c>
      <c r="AT133" s="59">
        <f t="shared" ref="AT133:AT138" si="74">IF(AG133="",,(((AG133+1)/($G$183+1))-1))</f>
        <v>0</v>
      </c>
      <c r="AU133" s="59">
        <f t="shared" ref="AU133:AU138" si="75">IF(AH133="",,(((AH133+1)/($H$183+1))-1))</f>
        <v>0</v>
      </c>
      <c r="AV133" s="59">
        <f t="shared" ref="AV133:AV138" si="76">IF(AI133="",,(((AI133+1)/($I$183+1))-1))</f>
        <v>0</v>
      </c>
      <c r="AW133" s="59">
        <f t="shared" ref="AW133:AW138" si="77">IF(AJ133="",,(((AJ133+1)/($J$183+1))-1))</f>
        <v>0</v>
      </c>
      <c r="AX133" s="59">
        <f t="shared" ref="AX133:AX138" si="78">IF(AK133="",,(((AK133+1)/($K$183+1))-1))</f>
        <v>1.5978136791070408</v>
      </c>
      <c r="AY133" s="59">
        <f t="shared" ref="AY133:AY137" si="79">IF(AL133="",,(((AL133+1)/($L$183+1))-1))</f>
        <v>0.19218920428073405</v>
      </c>
      <c r="AZ133" s="65">
        <f t="shared" ref="AZ133:AZ138" si="80">AVERAGE(AO133:AY133)</f>
        <v>0.17900028833877749</v>
      </c>
    </row>
    <row r="134" spans="1:52" ht="25.5">
      <c r="A134" s="515" t="s">
        <v>63</v>
      </c>
      <c r="B134" s="495"/>
      <c r="C134" s="496"/>
      <c r="D134" s="496"/>
      <c r="E134" s="496"/>
      <c r="F134" s="496"/>
      <c r="G134" s="496"/>
      <c r="H134" s="496"/>
      <c r="I134" s="496"/>
      <c r="J134" s="496">
        <v>1099601</v>
      </c>
      <c r="K134" s="496">
        <v>989075</v>
      </c>
      <c r="L134" s="497">
        <v>1044278</v>
      </c>
      <c r="M134" s="463"/>
      <c r="O134" s="58">
        <f t="shared" si="56"/>
        <v>0</v>
      </c>
      <c r="P134" s="59">
        <f t="shared" si="57"/>
        <v>0</v>
      </c>
      <c r="Q134" s="59">
        <f t="shared" si="58"/>
        <v>0</v>
      </c>
      <c r="R134" s="59">
        <f t="shared" si="59"/>
        <v>0</v>
      </c>
      <c r="S134" s="59">
        <f t="shared" si="60"/>
        <v>0</v>
      </c>
      <c r="T134" s="59">
        <f t="shared" si="61"/>
        <v>0</v>
      </c>
      <c r="U134" s="59">
        <f t="shared" si="62"/>
        <v>0</v>
      </c>
      <c r="V134" s="59">
        <f t="shared" si="63"/>
        <v>0</v>
      </c>
      <c r="W134" s="59">
        <f t="shared" si="64"/>
        <v>1.6939252930329423E-2</v>
      </c>
      <c r="X134" s="59">
        <f t="shared" si="65"/>
        <v>9.7338197039830363E-3</v>
      </c>
      <c r="Y134" s="60">
        <f t="shared" si="66"/>
        <v>6.5981312179795842E-3</v>
      </c>
      <c r="Z134" s="60">
        <f t="shared" si="67"/>
        <v>3.0246548956629131E-3</v>
      </c>
      <c r="AB134" s="68"/>
      <c r="AC134" s="59" t="str">
        <f t="shared" ref="AC134:AE140" si="81">+IF(B134=0,"",C134/B134-1)</f>
        <v/>
      </c>
      <c r="AD134" s="59" t="str">
        <f t="shared" si="81"/>
        <v/>
      </c>
      <c r="AE134" s="59" t="str">
        <f t="shared" si="81"/>
        <v/>
      </c>
      <c r="AF134" s="59" t="str">
        <f t="shared" si="68"/>
        <v/>
      </c>
      <c r="AG134" s="59" t="str">
        <f t="shared" si="55"/>
        <v/>
      </c>
      <c r="AH134" s="59" t="str">
        <f t="shared" si="55"/>
        <v/>
      </c>
      <c r="AI134" s="59" t="str">
        <f t="shared" si="55"/>
        <v/>
      </c>
      <c r="AJ134" s="59" t="str">
        <f t="shared" si="55"/>
        <v/>
      </c>
      <c r="AK134" s="59">
        <f t="shared" si="54"/>
        <v>-0.10051464121986065</v>
      </c>
      <c r="AL134" s="59">
        <f t="shared" si="54"/>
        <v>5.5812754341177273E-2</v>
      </c>
      <c r="AM134" s="65">
        <f t="shared" si="69"/>
        <v>-2.2350943439341686E-2</v>
      </c>
      <c r="AO134" s="58"/>
      <c r="AP134" s="59">
        <f t="shared" si="70"/>
        <v>0</v>
      </c>
      <c r="AQ134" s="59">
        <f t="shared" si="71"/>
        <v>0</v>
      </c>
      <c r="AR134" s="59">
        <f t="shared" si="72"/>
        <v>0</v>
      </c>
      <c r="AS134" s="59">
        <f t="shared" si="73"/>
        <v>0</v>
      </c>
      <c r="AT134" s="59">
        <f t="shared" si="74"/>
        <v>0</v>
      </c>
      <c r="AU134" s="59">
        <f t="shared" si="75"/>
        <v>0</v>
      </c>
      <c r="AV134" s="59">
        <f t="shared" si="76"/>
        <v>0</v>
      </c>
      <c r="AW134" s="59">
        <f t="shared" si="77"/>
        <v>0</v>
      </c>
      <c r="AX134" s="59">
        <f t="shared" si="78"/>
        <v>-0.16459054631732206</v>
      </c>
      <c r="AY134" s="59">
        <f t="shared" si="79"/>
        <v>3.5110543471742472E-2</v>
      </c>
      <c r="AZ134" s="65">
        <f t="shared" si="80"/>
        <v>-1.2948000284557958E-2</v>
      </c>
    </row>
    <row r="135" spans="1:52" ht="38.25">
      <c r="A135" s="515" t="s">
        <v>64</v>
      </c>
      <c r="B135" s="495">
        <v>-7907118</v>
      </c>
      <c r="C135" s="496">
        <v>-15015798</v>
      </c>
      <c r="D135" s="496">
        <v>-6383277</v>
      </c>
      <c r="E135" s="496">
        <v>-7877282</v>
      </c>
      <c r="F135" s="496">
        <v>-8111577</v>
      </c>
      <c r="G135" s="496">
        <v>-7875850</v>
      </c>
      <c r="H135" s="496">
        <v>-5438775</v>
      </c>
      <c r="I135" s="496">
        <v>14461752</v>
      </c>
      <c r="J135" s="496">
        <v>2979183</v>
      </c>
      <c r="K135" s="496">
        <v>10419553</v>
      </c>
      <c r="L135" s="497">
        <v>12828990</v>
      </c>
      <c r="M135" s="463"/>
      <c r="O135" s="58">
        <f t="shared" si="56"/>
        <v>-0.19770306817481162</v>
      </c>
      <c r="P135" s="59">
        <f t="shared" si="57"/>
        <v>-0.73912320969654488</v>
      </c>
      <c r="Q135" s="59">
        <f t="shared" si="58"/>
        <v>-0.63595628261774673</v>
      </c>
      <c r="R135" s="59">
        <f t="shared" si="59"/>
        <v>-0.50537628751821073</v>
      </c>
      <c r="S135" s="59">
        <f t="shared" si="60"/>
        <v>-0.36092844607529245</v>
      </c>
      <c r="T135" s="59">
        <f t="shared" si="61"/>
        <v>-0.32088143522944357</v>
      </c>
      <c r="U135" s="59">
        <f t="shared" si="62"/>
        <v>-0.11595374654826658</v>
      </c>
      <c r="V135" s="59">
        <f t="shared" si="63"/>
        <v>0.11484780177720452</v>
      </c>
      <c r="W135" s="59">
        <f t="shared" si="64"/>
        <v>4.5894041895867314E-2</v>
      </c>
      <c r="X135" s="59">
        <f t="shared" si="65"/>
        <v>0.10254232520091555</v>
      </c>
      <c r="Y135" s="60">
        <f t="shared" si="66"/>
        <v>8.1058261702485271E-2</v>
      </c>
      <c r="Z135" s="60">
        <f t="shared" si="67"/>
        <v>-0.23014364048034947</v>
      </c>
      <c r="AB135" s="68"/>
      <c r="AC135" s="59">
        <f t="shared" si="81"/>
        <v>0.89902288039713074</v>
      </c>
      <c r="AD135" s="59">
        <f t="shared" si="81"/>
        <v>-0.57489591961745889</v>
      </c>
      <c r="AE135" s="59">
        <f t="shared" si="81"/>
        <v>0.23404984618402125</v>
      </c>
      <c r="AF135" s="59">
        <f t="shared" si="68"/>
        <v>2.9743127134460812E-2</v>
      </c>
      <c r="AG135" s="59">
        <f t="shared" si="55"/>
        <v>-2.9060563685704976E-2</v>
      </c>
      <c r="AH135" s="59">
        <f t="shared" si="55"/>
        <v>-0.30943644178088714</v>
      </c>
      <c r="AI135" s="59">
        <f t="shared" si="55"/>
        <v>-3.6590090599445646</v>
      </c>
      <c r="AJ135" s="59">
        <f t="shared" si="55"/>
        <v>-0.79399570674424513</v>
      </c>
      <c r="AK135" s="59">
        <f t="shared" si="54"/>
        <v>2.4974531608162374</v>
      </c>
      <c r="AL135" s="59">
        <f t="shared" si="54"/>
        <v>0.23124187765060555</v>
      </c>
      <c r="AM135" s="65">
        <f t="shared" si="69"/>
        <v>-0.14748867995904053</v>
      </c>
      <c r="AO135" s="58"/>
      <c r="AP135" s="59">
        <f t="shared" si="70"/>
        <v>0.74622793599736181</v>
      </c>
      <c r="AQ135" s="59">
        <f t="shared" si="71"/>
        <v>-0.60510535960748624</v>
      </c>
      <c r="AR135" s="59">
        <f t="shared" si="72"/>
        <v>0.1534254100233865</v>
      </c>
      <c r="AS135" s="59">
        <f t="shared" si="73"/>
        <v>-3.3014248159957904E-2</v>
      </c>
      <c r="AT135" s="59">
        <f t="shared" si="74"/>
        <v>-7.9656647937323188E-2</v>
      </c>
      <c r="AU135" s="59">
        <f t="shared" si="75"/>
        <v>-0.3413957283972151</v>
      </c>
      <c r="AV135" s="59">
        <f t="shared" si="76"/>
        <v>-3.54499335752734</v>
      </c>
      <c r="AW135" s="59">
        <f t="shared" si="77"/>
        <v>-0.80508629647482743</v>
      </c>
      <c r="AX135" s="59">
        <f t="shared" si="78"/>
        <v>2.2483079416887133</v>
      </c>
      <c r="AY135" s="59">
        <f t="shared" si="79"/>
        <v>0.20709988004961333</v>
      </c>
      <c r="AZ135" s="65">
        <f t="shared" si="80"/>
        <v>-0.2054190470345075</v>
      </c>
    </row>
    <row r="136" spans="1:52" ht="51">
      <c r="A136" s="515" t="s">
        <v>238</v>
      </c>
      <c r="B136" s="495">
        <v>7261126</v>
      </c>
      <c r="C136" s="496">
        <v>5395027</v>
      </c>
      <c r="D136" s="496">
        <v>4624494</v>
      </c>
      <c r="E136" s="496">
        <v>4019981</v>
      </c>
      <c r="F136" s="496">
        <v>4299907</v>
      </c>
      <c r="G136" s="496">
        <v>1032813</v>
      </c>
      <c r="H136" s="496">
        <v>4535586</v>
      </c>
      <c r="I136" s="496">
        <v>4073890</v>
      </c>
      <c r="J136" s="496">
        <v>4546116</v>
      </c>
      <c r="K136" s="496">
        <v>10610941</v>
      </c>
      <c r="L136" s="497">
        <v>9942660</v>
      </c>
      <c r="M136" s="463"/>
      <c r="O136" s="58">
        <f t="shared" si="56"/>
        <v>0.18155121608200323</v>
      </c>
      <c r="P136" s="59">
        <f t="shared" si="57"/>
        <v>0.2655596241131854</v>
      </c>
      <c r="Q136" s="59">
        <f t="shared" si="58"/>
        <v>0.46073137876173537</v>
      </c>
      <c r="R136" s="59">
        <f t="shared" si="59"/>
        <v>0.25790660708525404</v>
      </c>
      <c r="S136" s="59">
        <f t="shared" si="60"/>
        <v>0.19132639088284223</v>
      </c>
      <c r="T136" s="59">
        <f t="shared" si="61"/>
        <v>4.2079333375270894E-2</v>
      </c>
      <c r="U136" s="59">
        <f t="shared" si="62"/>
        <v>9.6697912579922177E-2</v>
      </c>
      <c r="V136" s="59">
        <f t="shared" si="63"/>
        <v>3.2352740607233185E-2</v>
      </c>
      <c r="W136" s="59">
        <f t="shared" si="64"/>
        <v>7.0032501584317827E-2</v>
      </c>
      <c r="X136" s="59">
        <f t="shared" si="65"/>
        <v>0.10442583887329218</v>
      </c>
      <c r="Y136" s="60">
        <f t="shared" si="66"/>
        <v>6.2821370684584849E-2</v>
      </c>
      <c r="Z136" s="60">
        <f t="shared" si="67"/>
        <v>0.16049862860269465</v>
      </c>
      <c r="AB136" s="68"/>
      <c r="AC136" s="59">
        <f t="shared" si="81"/>
        <v>-0.25699857019420957</v>
      </c>
      <c r="AD136" s="59">
        <f t="shared" si="81"/>
        <v>-0.14282282553914927</v>
      </c>
      <c r="AE136" s="59">
        <f t="shared" si="81"/>
        <v>-0.13071981496786456</v>
      </c>
      <c r="AF136" s="59">
        <f t="shared" si="68"/>
        <v>6.963366244765834E-2</v>
      </c>
      <c r="AG136" s="59">
        <f t="shared" si="55"/>
        <v>-0.75980573533334561</v>
      </c>
      <c r="AH136" s="59">
        <f t="shared" si="55"/>
        <v>3.3914881009437332</v>
      </c>
      <c r="AI136" s="59">
        <f t="shared" si="55"/>
        <v>-0.10179412318496439</v>
      </c>
      <c r="AJ136" s="59">
        <f t="shared" si="55"/>
        <v>0.11591525544381409</v>
      </c>
      <c r="AK136" s="59">
        <f t="shared" si="54"/>
        <v>1.3340673665168246</v>
      </c>
      <c r="AL136" s="59">
        <f t="shared" si="54"/>
        <v>-6.2980370920920237E-2</v>
      </c>
      <c r="AM136" s="65">
        <f t="shared" si="69"/>
        <v>0.34559829452115765</v>
      </c>
      <c r="AO136" s="58"/>
      <c r="AP136" s="59">
        <f t="shared" si="70"/>
        <v>-0.31678029443145705</v>
      </c>
      <c r="AQ136" s="59">
        <f t="shared" si="71"/>
        <v>-0.20373694894486694</v>
      </c>
      <c r="AR136" s="59">
        <f t="shared" si="72"/>
        <v>-0.187512678724988</v>
      </c>
      <c r="AS136" s="59">
        <f t="shared" si="73"/>
        <v>4.4451708589148264E-3</v>
      </c>
      <c r="AT136" s="59">
        <f t="shared" si="74"/>
        <v>-0.77232236489570238</v>
      </c>
      <c r="AU136" s="59">
        <f t="shared" si="75"/>
        <v>3.1882499989329656</v>
      </c>
      <c r="AV136" s="59">
        <f t="shared" si="76"/>
        <v>-0.14030831085850337</v>
      </c>
      <c r="AW136" s="59">
        <f t="shared" si="77"/>
        <v>5.5838069300609527E-2</v>
      </c>
      <c r="AX136" s="59">
        <f t="shared" si="78"/>
        <v>1.1677973126375263</v>
      </c>
      <c r="AY136" s="59">
        <f t="shared" si="79"/>
        <v>-8.1353304824431594E-2</v>
      </c>
      <c r="AZ136" s="65">
        <f t="shared" si="80"/>
        <v>0.2714316649050067</v>
      </c>
    </row>
    <row r="137" spans="1:52" ht="25.5">
      <c r="A137" s="515" t="s">
        <v>65</v>
      </c>
      <c r="B137" s="495">
        <v>6316927</v>
      </c>
      <c r="C137" s="496">
        <v>5905140</v>
      </c>
      <c r="D137" s="496">
        <v>1945482</v>
      </c>
      <c r="E137" s="496">
        <v>3646510</v>
      </c>
      <c r="F137" s="496">
        <v>6259579</v>
      </c>
      <c r="G137" s="496">
        <v>6228661</v>
      </c>
      <c r="H137" s="496">
        <v>16447057</v>
      </c>
      <c r="I137" s="496">
        <v>43141404</v>
      </c>
      <c r="J137" s="496">
        <v>29113520</v>
      </c>
      <c r="K137" s="496">
        <v>48724973</v>
      </c>
      <c r="L137" s="497">
        <v>56740827</v>
      </c>
      <c r="M137" s="463"/>
      <c r="O137" s="58">
        <f t="shared" si="56"/>
        <v>0.15794324168885657</v>
      </c>
      <c r="P137" s="59">
        <f t="shared" si="57"/>
        <v>0.29066893617691547</v>
      </c>
      <c r="Q137" s="59">
        <f t="shared" si="58"/>
        <v>0.19382544430074694</v>
      </c>
      <c r="R137" s="59">
        <f t="shared" si="59"/>
        <v>0.23394613601468509</v>
      </c>
      <c r="S137" s="59">
        <f t="shared" si="60"/>
        <v>0.27852292119714001</v>
      </c>
      <c r="T137" s="59">
        <f t="shared" si="61"/>
        <v>0.25377091758193226</v>
      </c>
      <c r="U137" s="59">
        <f t="shared" si="62"/>
        <v>0.35064842337528096</v>
      </c>
      <c r="V137" s="59">
        <f t="shared" si="63"/>
        <v>0.34260685807516944</v>
      </c>
      <c r="W137" s="59">
        <f t="shared" si="64"/>
        <v>0.4484911153884038</v>
      </c>
      <c r="X137" s="59">
        <f t="shared" si="65"/>
        <v>0.47951884565219161</v>
      </c>
      <c r="Y137" s="60">
        <f t="shared" si="66"/>
        <v>0.35850934517693456</v>
      </c>
      <c r="Z137" s="60">
        <f t="shared" si="67"/>
        <v>0.30804110769347787</v>
      </c>
      <c r="AB137" s="68"/>
      <c r="AC137" s="59">
        <f t="shared" si="81"/>
        <v>-6.5187867455172466E-2</v>
      </c>
      <c r="AD137" s="59">
        <f t="shared" si="81"/>
        <v>-0.67054430546947241</v>
      </c>
      <c r="AE137" s="59">
        <f t="shared" si="81"/>
        <v>0.87434784798831333</v>
      </c>
      <c r="AF137" s="59">
        <f t="shared" si="68"/>
        <v>0.71659449720417601</v>
      </c>
      <c r="AG137" s="59">
        <f t="shared" si="55"/>
        <v>-4.9393098162032745E-3</v>
      </c>
      <c r="AH137" s="59">
        <f t="shared" si="55"/>
        <v>1.6405445729025869</v>
      </c>
      <c r="AI137" s="59">
        <f t="shared" si="55"/>
        <v>1.6230470290216661</v>
      </c>
      <c r="AJ137" s="59">
        <f t="shared" si="55"/>
        <v>-0.32516058123653091</v>
      </c>
      <c r="AK137" s="59">
        <f t="shared" si="54"/>
        <v>0.67362012563235218</v>
      </c>
      <c r="AL137" s="59">
        <f t="shared" si="54"/>
        <v>0.16451223071996357</v>
      </c>
      <c r="AM137" s="65">
        <f t="shared" si="69"/>
        <v>0.46268342394916795</v>
      </c>
      <c r="AO137" s="58"/>
      <c r="AP137" s="59">
        <f t="shared" si="70"/>
        <v>-0.14040263674038844</v>
      </c>
      <c r="AQ137" s="59">
        <f t="shared" si="71"/>
        <v>-0.69395662375241285</v>
      </c>
      <c r="AR137" s="59">
        <f t="shared" si="72"/>
        <v>0.75189068883850196</v>
      </c>
      <c r="AS137" s="59">
        <f t="shared" si="73"/>
        <v>0.61197717833052501</v>
      </c>
      <c r="AT137" s="59">
        <f t="shared" si="74"/>
        <v>-5.6792363295138926E-2</v>
      </c>
      <c r="AU137" s="59">
        <f t="shared" si="75"/>
        <v>1.5183401504071172</v>
      </c>
      <c r="AV137" s="59">
        <f t="shared" si="76"/>
        <v>1.5105733432443205</v>
      </c>
      <c r="AW137" s="59">
        <f t="shared" si="77"/>
        <v>-0.36149170331775082</v>
      </c>
      <c r="AX137" s="59">
        <f t="shared" si="78"/>
        <v>0.55439781334852056</v>
      </c>
      <c r="AY137" s="59">
        <f t="shared" si="79"/>
        <v>0.14167865756859177</v>
      </c>
      <c r="AZ137" s="65">
        <f t="shared" si="80"/>
        <v>0.38362145046318863</v>
      </c>
    </row>
    <row r="138" spans="1:52" ht="39" thickBot="1">
      <c r="A138" s="516" t="s">
        <v>66</v>
      </c>
      <c r="B138" s="498">
        <v>39994918</v>
      </c>
      <c r="C138" s="499">
        <v>20315690</v>
      </c>
      <c r="D138" s="499">
        <v>10037289</v>
      </c>
      <c r="E138" s="499">
        <v>15586964</v>
      </c>
      <c r="F138" s="499">
        <v>22474197</v>
      </c>
      <c r="G138" s="499">
        <v>24544424</v>
      </c>
      <c r="H138" s="499">
        <v>46904694</v>
      </c>
      <c r="I138" s="499">
        <v>125921017</v>
      </c>
      <c r="J138" s="499">
        <v>64914374</v>
      </c>
      <c r="K138" s="499">
        <v>101612217</v>
      </c>
      <c r="L138" s="500">
        <v>158268753</v>
      </c>
      <c r="M138" s="463"/>
      <c r="O138" s="61">
        <f t="shared" si="56"/>
        <v>1</v>
      </c>
      <c r="P138" s="62">
        <f t="shared" si="57"/>
        <v>1</v>
      </c>
      <c r="Q138" s="62">
        <f t="shared" si="58"/>
        <v>1</v>
      </c>
      <c r="R138" s="62">
        <f t="shared" si="59"/>
        <v>1</v>
      </c>
      <c r="S138" s="62">
        <f t="shared" si="60"/>
        <v>1</v>
      </c>
      <c r="T138" s="62">
        <f t="shared" si="61"/>
        <v>1</v>
      </c>
      <c r="U138" s="62">
        <f t="shared" si="62"/>
        <v>1</v>
      </c>
      <c r="V138" s="62">
        <f t="shared" si="63"/>
        <v>1</v>
      </c>
      <c r="W138" s="62">
        <f t="shared" si="64"/>
        <v>1</v>
      </c>
      <c r="X138" s="62">
        <f t="shared" si="65"/>
        <v>1</v>
      </c>
      <c r="Y138" s="63">
        <f t="shared" si="66"/>
        <v>1</v>
      </c>
      <c r="Z138" s="63">
        <f t="shared" si="67"/>
        <v>1</v>
      </c>
      <c r="AB138" s="69"/>
      <c r="AC138" s="62">
        <f>+IF(B138=0,"",C138/B138-1)</f>
        <v>-0.49204321409035023</v>
      </c>
      <c r="AD138" s="62">
        <f t="shared" si="81"/>
        <v>-0.5059341326826704</v>
      </c>
      <c r="AE138" s="62">
        <f t="shared" si="81"/>
        <v>0.55290576967545713</v>
      </c>
      <c r="AF138" s="62">
        <f t="shared" si="68"/>
        <v>0.4418585299869815</v>
      </c>
      <c r="AG138" s="62">
        <f t="shared" si="55"/>
        <v>9.2115727204847397E-2</v>
      </c>
      <c r="AH138" s="62">
        <f>+IF(G138=0,"",H138/G138-1)</f>
        <v>0.91101221197938886</v>
      </c>
      <c r="AI138" s="62">
        <f t="shared" si="55"/>
        <v>1.684614401279326</v>
      </c>
      <c r="AJ138" s="62">
        <f t="shared" si="55"/>
        <v>-0.48448340438673554</v>
      </c>
      <c r="AK138" s="62">
        <f t="shared" si="54"/>
        <v>0.56532691819534464</v>
      </c>
      <c r="AL138" s="62">
        <f t="shared" si="54"/>
        <v>0.5575760245443715</v>
      </c>
      <c r="AM138" s="66">
        <f t="shared" si="69"/>
        <v>0.33229488317059608</v>
      </c>
      <c r="AO138" s="61"/>
      <c r="AP138" s="62">
        <f>IF(AC138="",,(((AC138+1)/($C$183+1))-1))</f>
        <v>-0.53291330031296569</v>
      </c>
      <c r="AQ138" s="62">
        <f t="shared" si="71"/>
        <v>-0.54104424773123116</v>
      </c>
      <c r="AR138" s="62">
        <f t="shared" si="72"/>
        <v>0.45144945291658756</v>
      </c>
      <c r="AS138" s="62">
        <f t="shared" si="73"/>
        <v>0.35398490936893756</v>
      </c>
      <c r="AT138" s="62">
        <f t="shared" si="74"/>
        <v>3.5205092741456445E-2</v>
      </c>
      <c r="AU138" s="62">
        <f t="shared" si="75"/>
        <v>0.8225705525795548</v>
      </c>
      <c r="AV138" s="62">
        <f t="shared" si="76"/>
        <v>1.5695007669212542</v>
      </c>
      <c r="AW138" s="62">
        <f t="shared" si="77"/>
        <v>-0.51223711267549965</v>
      </c>
      <c r="AX138" s="62">
        <f t="shared" si="78"/>
        <v>0.45381900083156368</v>
      </c>
      <c r="AY138" s="62">
        <f>IF(AL138="",,(((AL138+1)/($L$183+1))-1))</f>
        <v>0.52703531818075633</v>
      </c>
      <c r="AZ138" s="66">
        <f t="shared" si="80"/>
        <v>0.26273704328204139</v>
      </c>
    </row>
    <row r="139" spans="1:52">
      <c r="AB139" s="5"/>
      <c r="AC139" s="54" t="str">
        <f t="shared" si="81"/>
        <v/>
      </c>
      <c r="AD139" s="54" t="str">
        <f t="shared" si="81"/>
        <v/>
      </c>
      <c r="AE139" s="54" t="str">
        <f t="shared" si="81"/>
        <v/>
      </c>
      <c r="AF139" s="54" t="str">
        <f t="shared" si="68"/>
        <v/>
      </c>
      <c r="AG139" s="54" t="str">
        <f t="shared" si="55"/>
        <v/>
      </c>
      <c r="AH139" s="54" t="str">
        <f t="shared" si="55"/>
        <v/>
      </c>
      <c r="AI139" s="54" t="str">
        <f t="shared" si="55"/>
        <v/>
      </c>
      <c r="AJ139" s="54" t="str">
        <f t="shared" si="55"/>
        <v/>
      </c>
      <c r="AK139" s="54" t="str">
        <f t="shared" si="54"/>
        <v/>
      </c>
      <c r="AL139" s="54" t="str">
        <f t="shared" si="54"/>
        <v/>
      </c>
      <c r="AM139" s="5"/>
    </row>
    <row r="140" spans="1:52" ht="15.75" thickBot="1">
      <c r="AB140" s="5"/>
      <c r="AC140" s="54" t="str">
        <f t="shared" si="81"/>
        <v/>
      </c>
      <c r="AD140" s="54" t="str">
        <f t="shared" si="81"/>
        <v/>
      </c>
      <c r="AE140" s="54" t="str">
        <f t="shared" si="81"/>
        <v/>
      </c>
      <c r="AF140" s="54" t="str">
        <f t="shared" si="68"/>
        <v/>
      </c>
      <c r="AG140" s="54" t="str">
        <f t="shared" si="55"/>
        <v/>
      </c>
      <c r="AH140" s="54" t="str">
        <f t="shared" si="55"/>
        <v/>
      </c>
      <c r="AI140" s="54" t="str">
        <f t="shared" si="55"/>
        <v/>
      </c>
      <c r="AJ140" s="54" t="str">
        <f t="shared" si="55"/>
        <v/>
      </c>
      <c r="AK140" s="54" t="str">
        <f t="shared" si="54"/>
        <v/>
      </c>
      <c r="AL140" s="54" t="str">
        <f t="shared" si="54"/>
        <v/>
      </c>
      <c r="AM140" s="5"/>
    </row>
    <row r="141" spans="1:52" ht="15.75" thickBot="1">
      <c r="A141" s="670" t="s">
        <v>83</v>
      </c>
      <c r="B141" s="671"/>
      <c r="C141" s="671"/>
      <c r="D141" s="671"/>
      <c r="E141" s="671"/>
      <c r="F141" s="671"/>
      <c r="G141" s="671"/>
      <c r="H141" s="671"/>
      <c r="I141" s="671"/>
      <c r="J141" s="671"/>
      <c r="K141" s="671"/>
      <c r="L141" s="672"/>
      <c r="M141" s="124"/>
      <c r="O141" s="679" t="s">
        <v>262</v>
      </c>
      <c r="P141" s="680"/>
      <c r="Q141" s="680"/>
      <c r="R141" s="680"/>
      <c r="S141" s="680"/>
      <c r="T141" s="680"/>
      <c r="U141" s="680"/>
      <c r="V141" s="680"/>
      <c r="W141" s="680"/>
      <c r="X141" s="680"/>
      <c r="Y141" s="680"/>
      <c r="Z141" s="681"/>
      <c r="AB141" s="670" t="s">
        <v>263</v>
      </c>
      <c r="AC141" s="685"/>
      <c r="AD141" s="685"/>
      <c r="AE141" s="685"/>
      <c r="AF141" s="685"/>
      <c r="AG141" s="685"/>
      <c r="AH141" s="685"/>
      <c r="AI141" s="685"/>
      <c r="AJ141" s="685"/>
      <c r="AK141" s="685"/>
      <c r="AL141" s="685"/>
      <c r="AM141" s="686"/>
      <c r="AO141" s="699" t="s">
        <v>269</v>
      </c>
      <c r="AP141" s="700"/>
      <c r="AQ141" s="700"/>
      <c r="AR141" s="700"/>
      <c r="AS141" s="700"/>
      <c r="AT141" s="700"/>
      <c r="AU141" s="700"/>
      <c r="AV141" s="700"/>
      <c r="AW141" s="700"/>
      <c r="AX141" s="700"/>
      <c r="AY141" s="700"/>
      <c r="AZ141" s="701"/>
    </row>
    <row r="142" spans="1:52" ht="25.5">
      <c r="A142" s="511" t="s">
        <v>67</v>
      </c>
      <c r="B142" s="9">
        <v>25433951</v>
      </c>
      <c r="C142" s="10">
        <v>14510204</v>
      </c>
      <c r="D142" s="10">
        <v>11493916</v>
      </c>
      <c r="E142" s="10">
        <v>16813828</v>
      </c>
      <c r="F142" s="10">
        <v>26042607</v>
      </c>
      <c r="G142" s="10">
        <v>34468742</v>
      </c>
      <c r="H142" s="10">
        <v>68177660</v>
      </c>
      <c r="I142" s="10">
        <v>147245133</v>
      </c>
      <c r="J142" s="10">
        <v>105799543</v>
      </c>
      <c r="K142" s="10">
        <v>139477863</v>
      </c>
      <c r="L142" s="22">
        <v>284823547</v>
      </c>
      <c r="M142" s="463"/>
      <c r="O142" s="55">
        <f>B142/$B$142</f>
        <v>1</v>
      </c>
      <c r="P142" s="56">
        <f>C142/$C$142</f>
        <v>1</v>
      </c>
      <c r="Q142" s="56">
        <f>D142/$D$142</f>
        <v>1</v>
      </c>
      <c r="R142" s="56">
        <f>E142/$E$142</f>
        <v>1</v>
      </c>
      <c r="S142" s="56">
        <f>F142/$F$142</f>
        <v>1</v>
      </c>
      <c r="T142" s="56">
        <f>G142/$G$142</f>
        <v>1</v>
      </c>
      <c r="U142" s="56">
        <f>H142/$H$142</f>
        <v>1</v>
      </c>
      <c r="V142" s="56">
        <f>I142/$I$142</f>
        <v>1</v>
      </c>
      <c r="W142" s="56">
        <f>J142/$J$142</f>
        <v>1</v>
      </c>
      <c r="X142" s="56">
        <f>K142/$K$142</f>
        <v>1</v>
      </c>
      <c r="Y142" s="56">
        <f>L142/$L$142</f>
        <v>1</v>
      </c>
      <c r="Z142" s="64">
        <f>AVERAGE(O142:Y142)</f>
        <v>1</v>
      </c>
      <c r="AB142" s="67"/>
      <c r="AC142" s="56">
        <f>+IF(B142=0,"",C142/B142-1)</f>
        <v>-0.42949469392309514</v>
      </c>
      <c r="AD142" s="56">
        <f t="shared" ref="AD142:AL153" si="82">+IF(C142=0,"",D142/C142-1)</f>
        <v>-0.20787357641560378</v>
      </c>
      <c r="AE142" s="56">
        <f t="shared" si="82"/>
        <v>0.46284590908790357</v>
      </c>
      <c r="AF142" s="56">
        <f>+IF(E142=0,"",F142/E142-1)</f>
        <v>0.54888030257000375</v>
      </c>
      <c r="AG142" s="56">
        <f t="shared" si="82"/>
        <v>0.32355190092911967</v>
      </c>
      <c r="AH142" s="56">
        <f t="shared" si="82"/>
        <v>0.97795614356915017</v>
      </c>
      <c r="AI142" s="56">
        <f t="shared" si="82"/>
        <v>1.1597269985505516</v>
      </c>
      <c r="AJ142" s="56">
        <f t="shared" si="82"/>
        <v>-0.28147341209573296</v>
      </c>
      <c r="AK142" s="56">
        <f t="shared" si="82"/>
        <v>0.31832197989739908</v>
      </c>
      <c r="AL142" s="56">
        <f t="shared" si="82"/>
        <v>1.0420699089718632</v>
      </c>
      <c r="AM142" s="64">
        <f>AVERAGE(AB142:AL142)</f>
        <v>0.39145114611415593</v>
      </c>
      <c r="AO142" s="89"/>
      <c r="AP142" s="56">
        <f>IF(AC142="",,(((AC142+1)/($C$183+1))-1))</f>
        <v>-0.47539741969939775</v>
      </c>
      <c r="AQ142" s="56">
        <f>IF(AD142="",,(((AD142+1)/($D$183+1))-1))</f>
        <v>-0.26416495719052835</v>
      </c>
      <c r="AR142" s="56">
        <f>IF(AE142="",,(((AE142+1)/($E$183+1))-1))</f>
        <v>0.36727349199729264</v>
      </c>
      <c r="AS142" s="56">
        <f>IF(AF142="",,(((AF142+1)/($F$183+1))-1))</f>
        <v>0.45448427323692719</v>
      </c>
      <c r="AT142" s="56">
        <f>IF(AG142="",,(((AG142+1)/($G$183+1))-1))</f>
        <v>0.25458102490310774</v>
      </c>
      <c r="AU142" s="56">
        <f>IF(AH142="",,(((AH142+1)/($H$183+1))-1))</f>
        <v>0.8864163185168763</v>
      </c>
      <c r="AV142" s="56">
        <f>IF(AI142="",,(((AI142+1)/($I$183+1))-1))</f>
        <v>1.0671200215836061</v>
      </c>
      <c r="AW142" s="56">
        <f>IF(AJ142="",,(((AJ142+1)/($J$183+1))-1))</f>
        <v>-0.32015650685564667</v>
      </c>
      <c r="AX142" s="56">
        <f>IF(AK142="",,(((AK142+1)/($K$183+1))-1))</f>
        <v>0.2244097519247692</v>
      </c>
      <c r="AY142" s="56">
        <f>IF(AL142="",,(((AL142+1)/($L$183+1))-1))</f>
        <v>1.0020293225214347</v>
      </c>
      <c r="AZ142" s="86">
        <f>AVERAGE(AO142:AY142)</f>
        <v>0.31965953209384412</v>
      </c>
    </row>
    <row r="143" spans="1:52" ht="63.75">
      <c r="A143" s="512" t="s">
        <v>68</v>
      </c>
      <c r="B143" s="12">
        <v>17970789</v>
      </c>
      <c r="C143" s="2">
        <v>8038506</v>
      </c>
      <c r="D143" s="2">
        <v>6689667</v>
      </c>
      <c r="E143" s="2">
        <v>9367274</v>
      </c>
      <c r="F143" s="2">
        <v>16221489</v>
      </c>
      <c r="G143" s="2">
        <v>21305390</v>
      </c>
      <c r="H143" s="2">
        <v>43079316</v>
      </c>
      <c r="I143" s="2">
        <v>98425910</v>
      </c>
      <c r="J143" s="2">
        <v>67937539</v>
      </c>
      <c r="K143" s="2">
        <v>87380667</v>
      </c>
      <c r="L143" s="23">
        <v>191940042</v>
      </c>
      <c r="M143" s="463"/>
      <c r="O143" s="58">
        <f t="shared" ref="O143:O153" si="83">B143/$B$142</f>
        <v>0.70656694274515197</v>
      </c>
      <c r="P143" s="59">
        <f t="shared" ref="P143:P153" si="84">C143/$C$142</f>
        <v>0.55398986809558293</v>
      </c>
      <c r="Q143" s="59">
        <f t="shared" ref="Q143:Q153" si="85">D143/$D$142</f>
        <v>0.58201808678608757</v>
      </c>
      <c r="R143" s="59">
        <f t="shared" ref="R143:R153" si="86">E143/$E$142</f>
        <v>0.55711727275906475</v>
      </c>
      <c r="S143" s="59">
        <f t="shared" ref="S143:S153" si="87">F143/$F$142</f>
        <v>0.62288268605366581</v>
      </c>
      <c r="T143" s="59">
        <f t="shared" ref="T143:T153" si="88">G143/$G$142</f>
        <v>0.61810755959704011</v>
      </c>
      <c r="U143" s="59">
        <f t="shared" ref="U143:U153" si="89">H143/$H$142</f>
        <v>0.63186850355380342</v>
      </c>
      <c r="V143" s="59">
        <f t="shared" ref="V143:V153" si="90">I143/$I$142</f>
        <v>0.66844932660694467</v>
      </c>
      <c r="W143" s="59">
        <f>J143/$J$142</f>
        <v>0.64213452226348466</v>
      </c>
      <c r="X143" s="59">
        <f t="shared" ref="X143:X153" si="91">K143/$K$142</f>
        <v>0.62648412529807684</v>
      </c>
      <c r="Y143" s="59">
        <f t="shared" ref="Y143:Y153" si="92">L143/$L$142</f>
        <v>0.67389105999722698</v>
      </c>
      <c r="Z143" s="65">
        <f t="shared" ref="Z143:Z153" si="93">AVERAGE(O143:Y143)</f>
        <v>0.6257736321596481</v>
      </c>
      <c r="AB143" s="68"/>
      <c r="AC143" s="59">
        <f t="shared" ref="AC143:AC153" si="94">+IF(B143=0,"",C143/B143-1)</f>
        <v>-0.55269042444380156</v>
      </c>
      <c r="AD143" s="59">
        <f t="shared" si="82"/>
        <v>-0.16779722500673633</v>
      </c>
      <c r="AE143" s="59">
        <f t="shared" si="82"/>
        <v>0.40026013252976567</v>
      </c>
      <c r="AF143" s="59">
        <f t="shared" ref="AF143:AF153" si="95">+IF(E143=0,"",F143/E143-1)</f>
        <v>0.73171928140460074</v>
      </c>
      <c r="AG143" s="59">
        <f t="shared" si="82"/>
        <v>0.31340532302552493</v>
      </c>
      <c r="AH143" s="59">
        <f t="shared" si="82"/>
        <v>1.0219914303375814</v>
      </c>
      <c r="AI143" s="59">
        <f t="shared" si="82"/>
        <v>1.2847602779951286</v>
      </c>
      <c r="AJ143" s="59">
        <f t="shared" si="82"/>
        <v>-0.30975960496580623</v>
      </c>
      <c r="AK143" s="59">
        <f t="shared" si="82"/>
        <v>0.28619123221404874</v>
      </c>
      <c r="AL143" s="59">
        <f t="shared" si="82"/>
        <v>1.196596210463809</v>
      </c>
      <c r="AM143" s="65">
        <f t="shared" ref="AM143:AM153" si="96">AVERAGE(AB143:AL143)</f>
        <v>0.42046766335541153</v>
      </c>
      <c r="AO143" s="90"/>
      <c r="AP143" s="59">
        <f t="shared" ref="AP143:AP153" si="97">IF(AC143="",,(((AC143+1)/($C$183+1))-1))</f>
        <v>-0.58868085006326576</v>
      </c>
      <c r="AQ143" s="59">
        <f t="shared" ref="AQ143:AQ153" si="98">IF(AD143="",,(((AD143+1)/($D$183+1))-1))</f>
        <v>-0.22693657687574209</v>
      </c>
      <c r="AR143" s="59">
        <f t="shared" ref="AR143:AR153" si="99">IF(AE143="",,(((AE143+1)/($E$183+1))-1))</f>
        <v>0.30877664504137359</v>
      </c>
      <c r="AS143" s="59">
        <f t="shared" ref="AS143:AS153" si="100">IF(AF143="",,(((AF143+1)/($F$183+1))-1))</f>
        <v>0.62618018725194924</v>
      </c>
      <c r="AT143" s="59">
        <f t="shared" ref="AT143:AT153" si="101">IF(AG143="",,(((AG143+1)/($G$183+1))-1))</f>
        <v>0.24496318967003905</v>
      </c>
      <c r="AU143" s="59">
        <f t="shared" ref="AU143:AU153" si="102">IF(AH143="",,(((AH143+1)/($H$183+1))-1))</f>
        <v>0.92841365188577707</v>
      </c>
      <c r="AV143" s="59">
        <f t="shared" ref="AV143:AV153" si="103">IF(AI143="",,(((AI143+1)/($I$183+1))-1))</f>
        <v>1.1867919965497022</v>
      </c>
      <c r="AW143" s="59">
        <f t="shared" ref="AW143:AW153" si="104">IF(AJ143="",,(((AJ143+1)/($J$183+1))-1))</f>
        <v>-0.3469198646662941</v>
      </c>
      <c r="AX143" s="59">
        <f t="shared" ref="AX143:AX153" si="105">IF(AK143="",,(((AK143+1)/($K$183+1))-1))</f>
        <v>0.19456787611595505</v>
      </c>
      <c r="AY143" s="59">
        <f t="shared" ref="AY143:AY152" si="106">IF(AL143="",,(((AL143+1)/($L$183+1))-1))</f>
        <v>1.153525696533146</v>
      </c>
      <c r="AZ143" s="87">
        <f t="shared" ref="AZ143:AZ152" si="107">AVERAGE(AO143:AY143)</f>
        <v>0.34806819514426401</v>
      </c>
    </row>
    <row r="144" spans="1:52" ht="25.5">
      <c r="A144" s="512" t="s">
        <v>69</v>
      </c>
      <c r="B144" s="12">
        <v>7463162</v>
      </c>
      <c r="C144" s="2">
        <v>6471698</v>
      </c>
      <c r="D144" s="2">
        <v>4804249</v>
      </c>
      <c r="E144" s="2">
        <v>7446554</v>
      </c>
      <c r="F144" s="2">
        <v>9821118</v>
      </c>
      <c r="G144" s="2">
        <v>13163352</v>
      </c>
      <c r="H144" s="2">
        <v>25098344</v>
      </c>
      <c r="I144" s="2">
        <v>48819223</v>
      </c>
      <c r="J144" s="2">
        <v>37862004</v>
      </c>
      <c r="K144" s="2">
        <v>52097196</v>
      </c>
      <c r="L144" s="23">
        <v>92883505</v>
      </c>
      <c r="M144" s="463"/>
      <c r="O144" s="58">
        <f t="shared" si="83"/>
        <v>0.29343305725484808</v>
      </c>
      <c r="P144" s="59">
        <f t="shared" si="84"/>
        <v>0.44601013190441707</v>
      </c>
      <c r="Q144" s="59">
        <f t="shared" si="85"/>
        <v>0.41798191321391248</v>
      </c>
      <c r="R144" s="59">
        <f t="shared" si="86"/>
        <v>0.44288272724093525</v>
      </c>
      <c r="S144" s="59">
        <f t="shared" si="87"/>
        <v>0.37711731394633419</v>
      </c>
      <c r="T144" s="59">
        <f t="shared" si="88"/>
        <v>0.38189244040295989</v>
      </c>
      <c r="U144" s="59">
        <f t="shared" si="89"/>
        <v>0.36813149644619658</v>
      </c>
      <c r="V144" s="59">
        <f t="shared" si="90"/>
        <v>0.33155067339305538</v>
      </c>
      <c r="W144" s="59">
        <f t="shared" ref="W144:W153" si="108">J144/$J$142</f>
        <v>0.35786547773651539</v>
      </c>
      <c r="X144" s="59">
        <f t="shared" si="91"/>
        <v>0.37351587470192316</v>
      </c>
      <c r="Y144" s="59">
        <f t="shared" si="92"/>
        <v>0.32610894000277302</v>
      </c>
      <c r="Z144" s="65">
        <f t="shared" si="93"/>
        <v>0.3742263678403519</v>
      </c>
      <c r="AB144" s="68"/>
      <c r="AC144" s="59">
        <f t="shared" si="94"/>
        <v>-0.1328477125379296</v>
      </c>
      <c r="AD144" s="59">
        <f t="shared" si="82"/>
        <v>-0.25765247389479551</v>
      </c>
      <c r="AE144" s="59">
        <f t="shared" si="82"/>
        <v>0.5499933496369569</v>
      </c>
      <c r="AF144" s="59">
        <f t="shared" si="95"/>
        <v>0.31888092129594447</v>
      </c>
      <c r="AG144" s="59">
        <f t="shared" si="82"/>
        <v>0.34031095034190617</v>
      </c>
      <c r="AH144" s="59">
        <f t="shared" si="82"/>
        <v>0.9066833432700121</v>
      </c>
      <c r="AI144" s="59">
        <f t="shared" si="82"/>
        <v>0.94511729538809419</v>
      </c>
      <c r="AJ144" s="59">
        <f t="shared" si="82"/>
        <v>-0.22444476430933769</v>
      </c>
      <c r="AK144" s="59">
        <f t="shared" si="82"/>
        <v>0.37597566151015149</v>
      </c>
      <c r="AL144" s="59">
        <f t="shared" si="82"/>
        <v>0.78288875662329316</v>
      </c>
      <c r="AM144" s="65">
        <f t="shared" si="96"/>
        <v>0.36049053273242959</v>
      </c>
      <c r="AO144" s="90"/>
      <c r="AP144" s="59">
        <f t="shared" si="97"/>
        <v>-0.20261858624177431</v>
      </c>
      <c r="AQ144" s="59">
        <f t="shared" si="98"/>
        <v>-0.3104063854108644</v>
      </c>
      <c r="AR144" s="59">
        <f t="shared" si="99"/>
        <v>0.44872731062431703</v>
      </c>
      <c r="AS144" s="59">
        <f t="shared" si="100"/>
        <v>0.23850213287251809</v>
      </c>
      <c r="AT144" s="59">
        <f t="shared" si="101"/>
        <v>0.27046675282502419</v>
      </c>
      <c r="AU144" s="59">
        <f t="shared" si="102"/>
        <v>0.81844202394628085</v>
      </c>
      <c r="AV144" s="59">
        <f t="shared" si="103"/>
        <v>0.86171257215552677</v>
      </c>
      <c r="AW144" s="59">
        <f t="shared" si="104"/>
        <v>-0.26619809282745543</v>
      </c>
      <c r="AX144" s="59">
        <f t="shared" si="105"/>
        <v>0.27795640522908105</v>
      </c>
      <c r="AY144" s="59">
        <f t="shared" si="106"/>
        <v>0.74793015355224823</v>
      </c>
      <c r="AZ144" s="87">
        <f t="shared" si="107"/>
        <v>0.2884514286724903</v>
      </c>
    </row>
    <row r="145" spans="1:52" ht="63.75">
      <c r="A145" s="512" t="s">
        <v>70</v>
      </c>
      <c r="B145" s="12">
        <v>10556593</v>
      </c>
      <c r="C145" s="2">
        <v>5569432</v>
      </c>
      <c r="D145" s="2">
        <v>2798760</v>
      </c>
      <c r="E145" s="2">
        <v>3392900</v>
      </c>
      <c r="F145" s="2">
        <v>3819106</v>
      </c>
      <c r="G145" s="2">
        <v>5789557</v>
      </c>
      <c r="H145" s="2">
        <v>12769619</v>
      </c>
      <c r="I145" s="2">
        <v>16158886</v>
      </c>
      <c r="J145" s="2">
        <v>16545849</v>
      </c>
      <c r="K145" s="2">
        <v>19141487</v>
      </c>
      <c r="L145" s="23">
        <v>42162504</v>
      </c>
      <c r="M145" s="463"/>
      <c r="O145" s="58">
        <f t="shared" si="83"/>
        <v>0.41505910741119223</v>
      </c>
      <c r="P145" s="59">
        <f t="shared" si="84"/>
        <v>0.38382864913546355</v>
      </c>
      <c r="Q145" s="59">
        <f t="shared" si="85"/>
        <v>0.24349925647620879</v>
      </c>
      <c r="R145" s="59">
        <f t="shared" si="86"/>
        <v>0.2017922391022437</v>
      </c>
      <c r="S145" s="59">
        <f t="shared" si="87"/>
        <v>0.14664837510315307</v>
      </c>
      <c r="T145" s="59">
        <f t="shared" si="88"/>
        <v>0.16796542792307304</v>
      </c>
      <c r="U145" s="59">
        <f t="shared" si="89"/>
        <v>0.18729916808526428</v>
      </c>
      <c r="V145" s="59">
        <f t="shared" si="90"/>
        <v>0.10974139294641407</v>
      </c>
      <c r="W145" s="59">
        <f t="shared" si="108"/>
        <v>0.15638866228373027</v>
      </c>
      <c r="X145" s="59">
        <f t="shared" si="91"/>
        <v>0.13723673842063383</v>
      </c>
      <c r="Y145" s="59">
        <f t="shared" si="92"/>
        <v>0.14803026099523997</v>
      </c>
      <c r="Z145" s="65">
        <f t="shared" si="93"/>
        <v>0.20886266162569245</v>
      </c>
      <c r="AB145" s="68"/>
      <c r="AC145" s="59">
        <f t="shared" si="94"/>
        <v>-0.47242145264101776</v>
      </c>
      <c r="AD145" s="59">
        <f t="shared" si="82"/>
        <v>-0.49747837840555376</v>
      </c>
      <c r="AE145" s="59">
        <f t="shared" si="82"/>
        <v>0.21228686989952683</v>
      </c>
      <c r="AF145" s="59">
        <f t="shared" si="95"/>
        <v>0.12561702378496276</v>
      </c>
      <c r="AG145" s="59">
        <f t="shared" si="82"/>
        <v>0.51594561659194582</v>
      </c>
      <c r="AH145" s="59">
        <f t="shared" si="82"/>
        <v>1.2056297226195372</v>
      </c>
      <c r="AI145" s="59">
        <f t="shared" si="82"/>
        <v>0.26541645447683293</v>
      </c>
      <c r="AJ145" s="59">
        <f t="shared" si="82"/>
        <v>2.3947381026142578E-2</v>
      </c>
      <c r="AK145" s="59">
        <f t="shared" si="82"/>
        <v>0.15687547976534777</v>
      </c>
      <c r="AL145" s="59">
        <f t="shared" si="82"/>
        <v>1.2026765214217683</v>
      </c>
      <c r="AM145" s="65">
        <f t="shared" si="96"/>
        <v>0.27384952385394923</v>
      </c>
      <c r="AO145" s="90"/>
      <c r="AP145" s="59">
        <f t="shared" si="97"/>
        <v>-0.51487030127909672</v>
      </c>
      <c r="AQ145" s="59">
        <f t="shared" si="98"/>
        <v>-0.53318939006554</v>
      </c>
      <c r="AR145" s="59">
        <f t="shared" si="99"/>
        <v>0.13308427881066143</v>
      </c>
      <c r="AS145" s="59">
        <f t="shared" si="100"/>
        <v>5.7016643614388851E-2</v>
      </c>
      <c r="AT145" s="59">
        <f t="shared" si="101"/>
        <v>0.43694901879268899</v>
      </c>
      <c r="AU145" s="59">
        <f t="shared" si="102"/>
        <v>1.1035531626335504</v>
      </c>
      <c r="AV145" s="59">
        <f t="shared" si="103"/>
        <v>0.21115663713326271</v>
      </c>
      <c r="AW145" s="59">
        <f t="shared" si="104"/>
        <v>-3.1178558968547043E-2</v>
      </c>
      <c r="AX145" s="59">
        <f t="shared" si="105"/>
        <v>7.446408448532349E-2</v>
      </c>
      <c r="AY145" s="59">
        <f t="shared" si="106"/>
        <v>1.1594867857076161</v>
      </c>
      <c r="AZ145" s="87">
        <f t="shared" si="107"/>
        <v>0.20964723608643082</v>
      </c>
    </row>
    <row r="146" spans="1:52" ht="51">
      <c r="A146" s="512" t="s">
        <v>71</v>
      </c>
      <c r="B146" s="12">
        <v>12020422</v>
      </c>
      <c r="C146" s="2">
        <v>3939279</v>
      </c>
      <c r="D146" s="2">
        <v>3219499</v>
      </c>
      <c r="E146" s="2">
        <v>4459194</v>
      </c>
      <c r="F146" s="2">
        <v>7378932</v>
      </c>
      <c r="G146" s="2">
        <v>8436878</v>
      </c>
      <c r="H146" s="2">
        <v>10642085</v>
      </c>
      <c r="I146" s="2">
        <v>26619778</v>
      </c>
      <c r="J146" s="2">
        <v>17134373</v>
      </c>
      <c r="K146" s="2">
        <v>28179584</v>
      </c>
      <c r="L146" s="23">
        <v>38861867</v>
      </c>
      <c r="M146" s="463"/>
      <c r="O146" s="58">
        <f t="shared" si="83"/>
        <v>0.47261324046743663</v>
      </c>
      <c r="P146" s="59">
        <f t="shared" si="84"/>
        <v>0.27148336439653087</v>
      </c>
      <c r="Q146" s="59">
        <f t="shared" si="85"/>
        <v>0.28010462230627053</v>
      </c>
      <c r="R146" s="59">
        <f t="shared" si="86"/>
        <v>0.26520992126242759</v>
      </c>
      <c r="S146" s="59">
        <f t="shared" si="87"/>
        <v>0.28334075770524819</v>
      </c>
      <c r="T146" s="59">
        <f t="shared" si="88"/>
        <v>0.24476895617484387</v>
      </c>
      <c r="U146" s="59">
        <f t="shared" si="89"/>
        <v>0.15609343295149761</v>
      </c>
      <c r="V146" s="59">
        <f t="shared" si="90"/>
        <v>0.18078545251475306</v>
      </c>
      <c r="W146" s="59">
        <f t="shared" si="108"/>
        <v>0.16195129500701153</v>
      </c>
      <c r="X146" s="59">
        <f t="shared" si="91"/>
        <v>0.20203624714267382</v>
      </c>
      <c r="Y146" s="59">
        <f t="shared" si="92"/>
        <v>0.13644190380088203</v>
      </c>
      <c r="Z146" s="65">
        <f t="shared" si="93"/>
        <v>0.24134810852087052</v>
      </c>
      <c r="AB146" s="68"/>
      <c r="AC146" s="59">
        <f t="shared" si="94"/>
        <v>-0.67228446721754032</v>
      </c>
      <c r="AD146" s="59">
        <f t="shared" si="82"/>
        <v>-0.18271871578529975</v>
      </c>
      <c r="AE146" s="59">
        <f t="shared" si="82"/>
        <v>0.38505835845887826</v>
      </c>
      <c r="AF146" s="59">
        <f t="shared" si="95"/>
        <v>0.65476810383221729</v>
      </c>
      <c r="AG146" s="59">
        <f t="shared" si="82"/>
        <v>0.14337386494414095</v>
      </c>
      <c r="AH146" s="59">
        <f t="shared" si="82"/>
        <v>0.26137713500183368</v>
      </c>
      <c r="AI146" s="59">
        <f t="shared" si="82"/>
        <v>1.5013686697672495</v>
      </c>
      <c r="AJ146" s="59">
        <f t="shared" si="82"/>
        <v>-0.35632923009350415</v>
      </c>
      <c r="AK146" s="59">
        <f t="shared" si="82"/>
        <v>0.64462300429668473</v>
      </c>
      <c r="AL146" s="59">
        <f t="shared" si="82"/>
        <v>0.37907880400221661</v>
      </c>
      <c r="AM146" s="65">
        <f t="shared" si="96"/>
        <v>0.27583155272068771</v>
      </c>
      <c r="AO146" s="90"/>
      <c r="AP146" s="59">
        <f t="shared" si="97"/>
        <v>-0.69865238364831295</v>
      </c>
      <c r="AQ146" s="59">
        <f t="shared" si="98"/>
        <v>-0.24079769232261938</v>
      </c>
      <c r="AR146" s="59">
        <f t="shared" si="99"/>
        <v>0.29456805164863842</v>
      </c>
      <c r="AS146" s="59">
        <f t="shared" si="100"/>
        <v>0.55391877531431821</v>
      </c>
      <c r="AT146" s="59">
        <f t="shared" si="101"/>
        <v>8.3792146210568186E-2</v>
      </c>
      <c r="AU146" s="59">
        <f t="shared" si="102"/>
        <v>0.20300059180171415</v>
      </c>
      <c r="AV146" s="59">
        <f t="shared" si="103"/>
        <v>1.3941124327787611</v>
      </c>
      <c r="AW146" s="59">
        <f t="shared" si="104"/>
        <v>-0.39098233521951375</v>
      </c>
      <c r="AX146" s="59">
        <f t="shared" si="105"/>
        <v>0.52746633630229844</v>
      </c>
      <c r="AY146" s="59">
        <f t="shared" si="106"/>
        <v>0.3520380431394281</v>
      </c>
      <c r="AZ146" s="87">
        <f t="shared" si="107"/>
        <v>0.20784639660052803</v>
      </c>
    </row>
    <row r="147" spans="1:52" ht="25.5">
      <c r="A147" s="512" t="s">
        <v>72</v>
      </c>
      <c r="B147" s="12">
        <v>-15113853</v>
      </c>
      <c r="C147" s="2">
        <v>-3037013</v>
      </c>
      <c r="D147" s="2">
        <v>-1214010</v>
      </c>
      <c r="E147" s="2">
        <v>-405540</v>
      </c>
      <c r="F147" s="2">
        <v>-1376920</v>
      </c>
      <c r="G147" s="2">
        <v>-1063083</v>
      </c>
      <c r="H147" s="2">
        <v>1686640</v>
      </c>
      <c r="I147" s="2">
        <v>6040559</v>
      </c>
      <c r="J147" s="2">
        <v>4181782</v>
      </c>
      <c r="K147" s="2">
        <v>4776125</v>
      </c>
      <c r="L147" s="23">
        <v>11859134</v>
      </c>
      <c r="M147" s="463"/>
      <c r="O147" s="58">
        <f t="shared" si="83"/>
        <v>-0.59423929062378078</v>
      </c>
      <c r="P147" s="59">
        <f t="shared" si="84"/>
        <v>-0.2093018816275774</v>
      </c>
      <c r="Q147" s="59">
        <f t="shared" si="85"/>
        <v>-0.10562196556856689</v>
      </c>
      <c r="R147" s="59">
        <f t="shared" si="86"/>
        <v>-2.411943312373601E-2</v>
      </c>
      <c r="S147" s="59">
        <f t="shared" si="87"/>
        <v>-5.2871818862067071E-2</v>
      </c>
      <c r="T147" s="59">
        <f t="shared" si="88"/>
        <v>-3.0841943694957012E-2</v>
      </c>
      <c r="U147" s="59">
        <f t="shared" si="89"/>
        <v>2.4738895409434702E-2</v>
      </c>
      <c r="V147" s="59">
        <f t="shared" si="90"/>
        <v>4.1023827931888246E-2</v>
      </c>
      <c r="W147" s="59">
        <f t="shared" si="108"/>
        <v>3.9525520445773572E-2</v>
      </c>
      <c r="X147" s="59">
        <f t="shared" si="91"/>
        <v>3.4242889138615493E-2</v>
      </c>
      <c r="Y147" s="59">
        <f t="shared" si="92"/>
        <v>4.1636775206651017E-2</v>
      </c>
      <c r="Z147" s="65">
        <f t="shared" si="93"/>
        <v>-7.5984402306211091E-2</v>
      </c>
      <c r="AB147" s="68"/>
      <c r="AC147" s="59">
        <f t="shared" si="94"/>
        <v>-0.79905765922164251</v>
      </c>
      <c r="AD147" s="59">
        <f t="shared" si="82"/>
        <v>-0.60026183621867935</v>
      </c>
      <c r="AE147" s="59">
        <f t="shared" si="82"/>
        <v>-0.66595003336051595</v>
      </c>
      <c r="AF147" s="59">
        <f t="shared" si="95"/>
        <v>2.3952754352221728</v>
      </c>
      <c r="AG147" s="59">
        <f t="shared" si="82"/>
        <v>-0.22792682218284288</v>
      </c>
      <c r="AH147" s="59">
        <f t="shared" si="82"/>
        <v>-2.586555330110631</v>
      </c>
      <c r="AI147" s="59">
        <f t="shared" si="82"/>
        <v>2.5814157140824361</v>
      </c>
      <c r="AJ147" s="59">
        <f t="shared" si="82"/>
        <v>-0.30771605740462105</v>
      </c>
      <c r="AK147" s="59">
        <f t="shared" si="82"/>
        <v>0.14212672970518314</v>
      </c>
      <c r="AL147" s="59">
        <f t="shared" si="82"/>
        <v>1.4830032714805412</v>
      </c>
      <c r="AM147" s="65">
        <f t="shared" si="96"/>
        <v>0.14143534119914009</v>
      </c>
      <c r="AO147" s="90"/>
      <c r="AP147" s="59">
        <f t="shared" si="97"/>
        <v>-0.81522543376702761</v>
      </c>
      <c r="AQ147" s="59">
        <f t="shared" si="98"/>
        <v>-0.6286686820424332</v>
      </c>
      <c r="AR147" s="59">
        <f t="shared" si="99"/>
        <v>-0.68777458955090753</v>
      </c>
      <c r="AS147" s="59">
        <f t="shared" si="100"/>
        <v>2.1883514275727043</v>
      </c>
      <c r="AT147" s="59">
        <f t="shared" si="101"/>
        <v>-0.26815989758612313</v>
      </c>
      <c r="AU147" s="59">
        <f t="shared" si="102"/>
        <v>-2.5131295376195943</v>
      </c>
      <c r="AV147" s="59">
        <f t="shared" si="103"/>
        <v>2.4278481183790546</v>
      </c>
      <c r="AW147" s="59">
        <f t="shared" si="104"/>
        <v>-0.34498633494618314</v>
      </c>
      <c r="AX147" s="59">
        <f t="shared" si="105"/>
        <v>6.0765979107628043E-2</v>
      </c>
      <c r="AY147" s="59">
        <f t="shared" si="106"/>
        <v>1.4343169328240601</v>
      </c>
      <c r="AZ147" s="87">
        <f t="shared" si="107"/>
        <v>8.5333798237117786E-2</v>
      </c>
    </row>
    <row r="148" spans="1:52" ht="38.25">
      <c r="A148" s="512" t="s">
        <v>73</v>
      </c>
      <c r="B148" s="12">
        <v>5092628</v>
      </c>
      <c r="C148" s="2">
        <v>10808696</v>
      </c>
      <c r="D148" s="2">
        <v>2066197</v>
      </c>
      <c r="E148" s="2">
        <v>2785944</v>
      </c>
      <c r="F148" s="2">
        <v>1650553</v>
      </c>
      <c r="G148" s="2">
        <v>3799476</v>
      </c>
      <c r="H148" s="2">
        <v>2743419</v>
      </c>
      <c r="I148" s="2">
        <v>4362743</v>
      </c>
      <c r="J148" s="2">
        <v>7455547</v>
      </c>
      <c r="K148" s="2">
        <v>6181714</v>
      </c>
      <c r="L148" s="23">
        <v>7903896</v>
      </c>
      <c r="M148" s="463"/>
      <c r="O148" s="58">
        <f t="shared" si="83"/>
        <v>0.20022952784646003</v>
      </c>
      <c r="P148" s="59">
        <f t="shared" si="84"/>
        <v>0.74490310405008775</v>
      </c>
      <c r="Q148" s="59">
        <f t="shared" si="85"/>
        <v>0.17976440753525605</v>
      </c>
      <c r="R148" s="59">
        <f t="shared" si="86"/>
        <v>0.16569361837173546</v>
      </c>
      <c r="S148" s="59">
        <f t="shared" si="87"/>
        <v>6.3378946662290755E-2</v>
      </c>
      <c r="T148" s="59">
        <f t="shared" si="88"/>
        <v>0.11022961035247529</v>
      </c>
      <c r="U148" s="59">
        <f t="shared" si="89"/>
        <v>4.0239266058706036E-2</v>
      </c>
      <c r="V148" s="59">
        <f t="shared" si="90"/>
        <v>2.9629115143656397E-2</v>
      </c>
      <c r="W148" s="59">
        <f t="shared" si="108"/>
        <v>7.046861251565141E-2</v>
      </c>
      <c r="X148" s="59">
        <f t="shared" si="91"/>
        <v>4.4320395129655805E-2</v>
      </c>
      <c r="Y148" s="59">
        <f t="shared" si="92"/>
        <v>2.7750149463590522E-2</v>
      </c>
      <c r="Z148" s="65">
        <f t="shared" si="93"/>
        <v>0.15241879573905143</v>
      </c>
      <c r="AB148" s="68"/>
      <c r="AC148" s="59">
        <f t="shared" si="94"/>
        <v>1.1224200943010172</v>
      </c>
      <c r="AD148" s="59">
        <f t="shared" si="82"/>
        <v>-0.80883938266003597</v>
      </c>
      <c r="AE148" s="59">
        <f t="shared" si="82"/>
        <v>0.34834384136652985</v>
      </c>
      <c r="AF148" s="59">
        <f t="shared" si="95"/>
        <v>-0.4075426498163639</v>
      </c>
      <c r="AG148" s="59">
        <f t="shared" si="82"/>
        <v>1.3019412281823124</v>
      </c>
      <c r="AH148" s="59">
        <f t="shared" si="82"/>
        <v>-0.27794806441730391</v>
      </c>
      <c r="AI148" s="59">
        <f t="shared" si="82"/>
        <v>0.59025763108005003</v>
      </c>
      <c r="AJ148" s="59">
        <f t="shared" si="82"/>
        <v>0.70891271844341963</v>
      </c>
      <c r="AK148" s="59">
        <f t="shared" si="82"/>
        <v>-0.17085708131140476</v>
      </c>
      <c r="AL148" s="59">
        <f t="shared" si="82"/>
        <v>0.27859295981664634</v>
      </c>
      <c r="AM148" s="65">
        <f t="shared" si="96"/>
        <v>0.26852812949848676</v>
      </c>
      <c r="AO148" s="90"/>
      <c r="AP148" s="59">
        <f t="shared" si="97"/>
        <v>0.95165066142622279</v>
      </c>
      <c r="AQ148" s="59">
        <f t="shared" si="98"/>
        <v>-0.82242395045056749</v>
      </c>
      <c r="AR148" s="59">
        <f t="shared" si="99"/>
        <v>0.26025221176421143</v>
      </c>
      <c r="AS148" s="59">
        <f t="shared" si="100"/>
        <v>-0.44364977914955761</v>
      </c>
      <c r="AT148" s="59">
        <f t="shared" si="101"/>
        <v>1.1819860507867941</v>
      </c>
      <c r="AU148" s="59">
        <f t="shared" si="102"/>
        <v>-0.31136463337248155</v>
      </c>
      <c r="AV148" s="59">
        <f t="shared" si="103"/>
        <v>0.52206894245793456</v>
      </c>
      <c r="AW148" s="59">
        <f t="shared" si="104"/>
        <v>0.61691051040157041</v>
      </c>
      <c r="AX148" s="59">
        <f t="shared" si="105"/>
        <v>-0.22992205935860011</v>
      </c>
      <c r="AY148" s="59">
        <f t="shared" si="106"/>
        <v>0.25352250962416312</v>
      </c>
      <c r="AZ148" s="87">
        <f t="shared" si="107"/>
        <v>0.19790304641296896</v>
      </c>
    </row>
    <row r="149" spans="1:52" ht="38.25">
      <c r="A149" s="512" t="s">
        <v>74</v>
      </c>
      <c r="B149" s="12">
        <v>5876573</v>
      </c>
      <c r="C149" s="2">
        <v>1957587</v>
      </c>
      <c r="D149" s="2">
        <v>564433</v>
      </c>
      <c r="E149" s="2">
        <v>2124457</v>
      </c>
      <c r="F149" s="2">
        <v>1507166</v>
      </c>
      <c r="G149" s="2">
        <v>2007477</v>
      </c>
      <c r="H149" s="2">
        <v>2798650</v>
      </c>
      <c r="I149" s="2">
        <v>6569993</v>
      </c>
      <c r="J149" s="2">
        <v>3319667</v>
      </c>
      <c r="K149" s="2">
        <v>5269832</v>
      </c>
      <c r="L149" s="23">
        <v>12733405</v>
      </c>
      <c r="M149" s="463"/>
      <c r="O149" s="58">
        <f t="shared" si="83"/>
        <v>0.23105230485031603</v>
      </c>
      <c r="P149" s="59">
        <f t="shared" si="84"/>
        <v>0.13491105983072327</v>
      </c>
      <c r="Q149" s="59">
        <f t="shared" si="85"/>
        <v>4.9107110231186656E-2</v>
      </c>
      <c r="R149" s="59">
        <f t="shared" si="86"/>
        <v>0.12635177426580074</v>
      </c>
      <c r="S149" s="59">
        <f t="shared" si="87"/>
        <v>5.787308467236018E-2</v>
      </c>
      <c r="T149" s="59">
        <f t="shared" si="88"/>
        <v>5.8240506717651602E-2</v>
      </c>
      <c r="U149" s="59">
        <f t="shared" si="89"/>
        <v>4.1049370130919714E-2</v>
      </c>
      <c r="V149" s="59">
        <f t="shared" si="90"/>
        <v>4.4619423855591887E-2</v>
      </c>
      <c r="W149" s="59">
        <f t="shared" si="108"/>
        <v>3.1376950276618867E-2</v>
      </c>
      <c r="X149" s="59">
        <f t="shared" si="91"/>
        <v>3.7782569123531812E-2</v>
      </c>
      <c r="Y149" s="59">
        <f t="shared" si="92"/>
        <v>4.4706293191412297E-2</v>
      </c>
      <c r="Z149" s="65">
        <f t="shared" si="93"/>
        <v>7.79154951951012E-2</v>
      </c>
      <c r="AB149" s="68"/>
      <c r="AC149" s="59">
        <f t="shared" si="94"/>
        <v>-0.6668828924613035</v>
      </c>
      <c r="AD149" s="59">
        <f t="shared" si="82"/>
        <v>-0.71166900883587803</v>
      </c>
      <c r="AE149" s="59">
        <f t="shared" si="82"/>
        <v>2.7638780865045098</v>
      </c>
      <c r="AF149" s="59">
        <f t="shared" si="95"/>
        <v>-0.2905641300341687</v>
      </c>
      <c r="AG149" s="59">
        <f t="shared" si="82"/>
        <v>0.33195480789773657</v>
      </c>
      <c r="AH149" s="59">
        <f t="shared" si="82"/>
        <v>0.39411310814519918</v>
      </c>
      <c r="AI149" s="59">
        <f t="shared" si="82"/>
        <v>1.3475579297161131</v>
      </c>
      <c r="AJ149" s="59">
        <f t="shared" si="82"/>
        <v>-0.49472290153124976</v>
      </c>
      <c r="AK149" s="59">
        <f t="shared" si="82"/>
        <v>0.58745801913264195</v>
      </c>
      <c r="AL149" s="59">
        <f t="shared" si="82"/>
        <v>1.4162829099675283</v>
      </c>
      <c r="AM149" s="65">
        <f t="shared" si="96"/>
        <v>0.46774059285011288</v>
      </c>
      <c r="AO149" s="90"/>
      <c r="AP149" s="59">
        <f t="shared" si="97"/>
        <v>-0.69368541835522157</v>
      </c>
      <c r="AQ149" s="59">
        <f t="shared" si="98"/>
        <v>-0.73215885632687228</v>
      </c>
      <c r="AR149" s="59">
        <f t="shared" si="99"/>
        <v>2.5179718539157956</v>
      </c>
      <c r="AS149" s="59">
        <f t="shared" si="100"/>
        <v>-0.33380047895029452</v>
      </c>
      <c r="AT149" s="59">
        <f t="shared" si="101"/>
        <v>0.26254605266624442</v>
      </c>
      <c r="AU149" s="59">
        <f t="shared" si="102"/>
        <v>0.32959354311965061</v>
      </c>
      <c r="AV149" s="59">
        <f t="shared" si="103"/>
        <v>1.2468969465123596</v>
      </c>
      <c r="AW149" s="59">
        <f t="shared" si="104"/>
        <v>-0.52192534916382793</v>
      </c>
      <c r="AX149" s="59">
        <f t="shared" si="105"/>
        <v>0.47437356657624408</v>
      </c>
      <c r="AY149" s="59">
        <f t="shared" si="106"/>
        <v>1.3689048136936552</v>
      </c>
      <c r="AZ149" s="87">
        <f t="shared" si="107"/>
        <v>0.39187166736877332</v>
      </c>
    </row>
    <row r="150" spans="1:52" ht="51">
      <c r="A150" s="512" t="s">
        <v>75</v>
      </c>
      <c r="B150" s="12">
        <v>-15897798</v>
      </c>
      <c r="C150" s="2">
        <v>5814096</v>
      </c>
      <c r="D150" s="2">
        <v>287754</v>
      </c>
      <c r="E150" s="2">
        <v>255947</v>
      </c>
      <c r="F150" s="2">
        <v>-1233533</v>
      </c>
      <c r="G150" s="2">
        <v>728916</v>
      </c>
      <c r="H150" s="2">
        <v>1631409</v>
      </c>
      <c r="I150" s="2">
        <v>3833309</v>
      </c>
      <c r="J150" s="2">
        <v>8317662</v>
      </c>
      <c r="K150" s="2">
        <v>5688007</v>
      </c>
      <c r="L150" s="23">
        <v>7029625</v>
      </c>
      <c r="M150" s="463"/>
      <c r="O150" s="58">
        <f t="shared" si="83"/>
        <v>-0.62506206762763683</v>
      </c>
      <c r="P150" s="59">
        <f t="shared" si="84"/>
        <v>0.40069016259178714</v>
      </c>
      <c r="Q150" s="59">
        <f t="shared" si="85"/>
        <v>2.5035331735502504E-2</v>
      </c>
      <c r="R150" s="59">
        <f t="shared" si="86"/>
        <v>1.52224109821987E-2</v>
      </c>
      <c r="S150" s="59">
        <f t="shared" si="87"/>
        <v>-4.7365956872136496E-2</v>
      </c>
      <c r="T150" s="59">
        <f t="shared" si="88"/>
        <v>2.1147159939866676E-2</v>
      </c>
      <c r="U150" s="59">
        <f t="shared" si="89"/>
        <v>2.392879133722102E-2</v>
      </c>
      <c r="V150" s="59">
        <f t="shared" si="90"/>
        <v>2.6033519219952759E-2</v>
      </c>
      <c r="W150" s="59">
        <f t="shared" si="108"/>
        <v>7.8617182684806108E-2</v>
      </c>
      <c r="X150" s="59">
        <f t="shared" si="91"/>
        <v>4.0780715144739493E-2</v>
      </c>
      <c r="Y150" s="59">
        <f t="shared" si="92"/>
        <v>2.4680631478829242E-2</v>
      </c>
      <c r="Z150" s="65">
        <f t="shared" si="93"/>
        <v>-1.4811017622608773E-3</v>
      </c>
      <c r="AB150" s="68"/>
      <c r="AC150" s="59">
        <f t="shared" si="94"/>
        <v>-1.3657170634574676</v>
      </c>
      <c r="AD150" s="59">
        <f t="shared" si="82"/>
        <v>-0.95050752515954329</v>
      </c>
      <c r="AE150" s="59">
        <f t="shared" si="82"/>
        <v>-0.11053538786602446</v>
      </c>
      <c r="AF150" s="59">
        <f t="shared" si="95"/>
        <v>-5.8194860654744929</v>
      </c>
      <c r="AG150" s="59">
        <f t="shared" si="82"/>
        <v>-1.5909173082519885</v>
      </c>
      <c r="AH150" s="59">
        <f t="shared" si="82"/>
        <v>1.2381303195429925</v>
      </c>
      <c r="AI150" s="59">
        <f t="shared" si="82"/>
        <v>1.3496921985841688</v>
      </c>
      <c r="AJ150" s="59">
        <f t="shared" si="82"/>
        <v>1.1698386433235619</v>
      </c>
      <c r="AK150" s="59">
        <f t="shared" si="82"/>
        <v>-0.31615314495828273</v>
      </c>
      <c r="AL150" s="59">
        <f t="shared" si="82"/>
        <v>0.23586785318653791</v>
      </c>
      <c r="AM150" s="65">
        <f t="shared" si="96"/>
        <v>-0.61597874805305375</v>
      </c>
      <c r="AO150" s="90"/>
      <c r="AP150" s="59">
        <f t="shared" si="97"/>
        <v>-1.336291552604568</v>
      </c>
      <c r="AQ150" s="59">
        <f t="shared" si="98"/>
        <v>-0.95402464018536304</v>
      </c>
      <c r="AR150" s="59">
        <f t="shared" si="99"/>
        <v>-0.16864696501170628</v>
      </c>
      <c r="AS150" s="59">
        <f t="shared" si="100"/>
        <v>-5.5257639829791465</v>
      </c>
      <c r="AT150" s="59">
        <f t="shared" si="101"/>
        <v>-1.5601243454822911</v>
      </c>
      <c r="AU150" s="59">
        <f t="shared" si="102"/>
        <v>1.1345496316893882</v>
      </c>
      <c r="AV150" s="59">
        <f t="shared" si="103"/>
        <v>1.2489397000231324</v>
      </c>
      <c r="AW150" s="59">
        <f t="shared" si="104"/>
        <v>1.0530217081309132</v>
      </c>
      <c r="AX150" s="59">
        <f t="shared" si="105"/>
        <v>-0.36486778578831869</v>
      </c>
      <c r="AY150" s="59">
        <f t="shared" si="106"/>
        <v>0.21163515018288037</v>
      </c>
      <c r="AZ150" s="87">
        <f t="shared" si="107"/>
        <v>-0.62615730820250781</v>
      </c>
    </row>
    <row r="151" spans="1:52" ht="25.5">
      <c r="A151" s="512" t="s">
        <v>76</v>
      </c>
      <c r="B151" s="12">
        <v>-586985</v>
      </c>
      <c r="C151" s="2">
        <v>1051620</v>
      </c>
      <c r="D151" s="2">
        <v>399531</v>
      </c>
      <c r="E151" s="2">
        <v>361705</v>
      </c>
      <c r="F151" s="2">
        <v>426058</v>
      </c>
      <c r="G151" s="2">
        <v>567223</v>
      </c>
      <c r="H151" s="2">
        <v>775878</v>
      </c>
      <c r="I151" s="2">
        <v>549065</v>
      </c>
      <c r="J151" s="2"/>
      <c r="K151" s="2"/>
      <c r="L151" s="23"/>
      <c r="M151" s="463"/>
      <c r="O151" s="58">
        <f t="shared" si="83"/>
        <v>-2.3078797313087533E-2</v>
      </c>
      <c r="P151" s="59">
        <f t="shared" si="84"/>
        <v>7.2474515175665347E-2</v>
      </c>
      <c r="Q151" s="59">
        <f t="shared" si="85"/>
        <v>3.4760215752403269E-2</v>
      </c>
      <c r="R151" s="59">
        <f t="shared" si="86"/>
        <v>2.1512352808652498E-2</v>
      </c>
      <c r="S151" s="59">
        <f t="shared" si="87"/>
        <v>1.6360036458715518E-2</v>
      </c>
      <c r="T151" s="59">
        <f t="shared" si="88"/>
        <v>1.6456156131256547E-2</v>
      </c>
      <c r="U151" s="59">
        <f t="shared" si="89"/>
        <v>1.1380238042784102E-2</v>
      </c>
      <c r="V151" s="59">
        <f t="shared" si="90"/>
        <v>3.7289178176096319E-3</v>
      </c>
      <c r="W151" s="59">
        <f t="shared" si="108"/>
        <v>0</v>
      </c>
      <c r="X151" s="59">
        <f t="shared" si="91"/>
        <v>0</v>
      </c>
      <c r="Y151" s="59">
        <f t="shared" si="92"/>
        <v>0</v>
      </c>
      <c r="Z151" s="65">
        <f t="shared" si="93"/>
        <v>1.3963057715818126E-2</v>
      </c>
      <c r="AB151" s="68"/>
      <c r="AC151" s="59">
        <f t="shared" si="94"/>
        <v>-2.7915619649565153</v>
      </c>
      <c r="AD151" s="59">
        <f t="shared" si="82"/>
        <v>-0.62008044730986478</v>
      </c>
      <c r="AE151" s="59">
        <f t="shared" si="82"/>
        <v>-9.4676007618933244E-2</v>
      </c>
      <c r="AF151" s="59">
        <f t="shared" si="95"/>
        <v>0.17791570478705032</v>
      </c>
      <c r="AG151" s="59">
        <f t="shared" si="82"/>
        <v>0.33132812903407527</v>
      </c>
      <c r="AH151" s="59">
        <f t="shared" si="82"/>
        <v>0.36785356023997617</v>
      </c>
      <c r="AI151" s="59">
        <f t="shared" si="82"/>
        <v>-0.29233075303075995</v>
      </c>
      <c r="AJ151" s="59">
        <f t="shared" si="82"/>
        <v>-1</v>
      </c>
      <c r="AK151" s="59" t="str">
        <f t="shared" si="82"/>
        <v/>
      </c>
      <c r="AL151" s="59" t="str">
        <f t="shared" si="82"/>
        <v/>
      </c>
      <c r="AM151" s="65">
        <f t="shared" si="96"/>
        <v>-0.49019397235687145</v>
      </c>
      <c r="AO151" s="90"/>
      <c r="AP151" s="59">
        <f t="shared" si="97"/>
        <v>-2.6474133011094394</v>
      </c>
      <c r="AQ151" s="59">
        <f t="shared" si="98"/>
        <v>-0.64707891064548517</v>
      </c>
      <c r="AR151" s="59">
        <f t="shared" si="99"/>
        <v>-0.15382372896432683</v>
      </c>
      <c r="AS151" s="59">
        <f t="shared" si="100"/>
        <v>0.10612799773410675</v>
      </c>
      <c r="AT151" s="59">
        <f t="shared" si="101"/>
        <v>0.26195203031585135</v>
      </c>
      <c r="AU151" s="59">
        <f t="shared" si="102"/>
        <v>0.30454928728701014</v>
      </c>
      <c r="AV151" s="59">
        <f t="shared" si="103"/>
        <v>-0.32267491675991566</v>
      </c>
      <c r="AW151" s="59">
        <f t="shared" si="104"/>
        <v>-1</v>
      </c>
      <c r="AX151" s="59">
        <f t="shared" si="105"/>
        <v>0</v>
      </c>
      <c r="AY151" s="59">
        <f t="shared" si="106"/>
        <v>0</v>
      </c>
      <c r="AZ151" s="87">
        <f t="shared" si="107"/>
        <v>-0.40983615421421982</v>
      </c>
    </row>
    <row r="152" spans="1:52" ht="63.75">
      <c r="A152" s="512" t="s">
        <v>77</v>
      </c>
      <c r="B152" s="12">
        <v>365960</v>
      </c>
      <c r="C152" s="2">
        <v>81371</v>
      </c>
      <c r="D152" s="2">
        <v>5846</v>
      </c>
      <c r="E152" s="2">
        <v>590131</v>
      </c>
      <c r="F152" s="2">
        <v>431107</v>
      </c>
      <c r="G152" s="2">
        <v>843477</v>
      </c>
      <c r="H152" s="2">
        <v>961989</v>
      </c>
      <c r="I152" s="2">
        <v>1593940</v>
      </c>
      <c r="J152" s="2">
        <v>1763944</v>
      </c>
      <c r="K152" s="2">
        <v>1434763</v>
      </c>
      <c r="L152" s="23">
        <v>2435560</v>
      </c>
      <c r="M152" s="463"/>
      <c r="O152" s="58">
        <f t="shared" si="83"/>
        <v>1.4388641387254384E-2</v>
      </c>
      <c r="P152" s="59">
        <f t="shared" si="84"/>
        <v>5.6078467263451295E-3</v>
      </c>
      <c r="Q152" s="59">
        <f t="shared" si="85"/>
        <v>5.0861690654429702E-4</v>
      </c>
      <c r="R152" s="59">
        <f t="shared" si="86"/>
        <v>3.5097956277416423E-2</v>
      </c>
      <c r="S152" s="59">
        <f t="shared" si="87"/>
        <v>1.6553911058136386E-2</v>
      </c>
      <c r="T152" s="59">
        <f t="shared" si="88"/>
        <v>2.4470779931568144E-2</v>
      </c>
      <c r="U152" s="59">
        <f t="shared" si="89"/>
        <v>1.4110032523850189E-2</v>
      </c>
      <c r="V152" s="59">
        <f t="shared" si="90"/>
        <v>1.082507766148033E-2</v>
      </c>
      <c r="W152" s="59">
        <f t="shared" si="108"/>
        <v>1.6672510579747966E-2</v>
      </c>
      <c r="X152" s="59">
        <f t="shared" si="91"/>
        <v>1.0286671799667593E-2</v>
      </c>
      <c r="Y152" s="59">
        <f t="shared" si="92"/>
        <v>8.5511188441171962E-3</v>
      </c>
      <c r="Z152" s="65">
        <f t="shared" si="93"/>
        <v>1.4279378517829823E-2</v>
      </c>
      <c r="AB152" s="68"/>
      <c r="AC152" s="59">
        <f t="shared" si="94"/>
        <v>-0.77765056290304946</v>
      </c>
      <c r="AD152" s="59">
        <f t="shared" si="82"/>
        <v>-0.92815622273291465</v>
      </c>
      <c r="AE152" s="59">
        <f t="shared" si="82"/>
        <v>99.946117003079024</v>
      </c>
      <c r="AF152" s="59">
        <f t="shared" si="95"/>
        <v>-0.2694723713887256</v>
      </c>
      <c r="AG152" s="59">
        <f t="shared" si="82"/>
        <v>0.95653747213568785</v>
      </c>
      <c r="AH152" s="59">
        <f t="shared" si="82"/>
        <v>0.14050412755771635</v>
      </c>
      <c r="AI152" s="59">
        <f t="shared" si="82"/>
        <v>0.6569212329870715</v>
      </c>
      <c r="AJ152" s="59">
        <f t="shared" si="82"/>
        <v>0.10665646134735307</v>
      </c>
      <c r="AK152" s="59">
        <f t="shared" si="82"/>
        <v>-0.18661646855002201</v>
      </c>
      <c r="AL152" s="59">
        <f t="shared" si="82"/>
        <v>0.69753471479261742</v>
      </c>
      <c r="AM152" s="65">
        <f t="shared" si="96"/>
        <v>10.034237538632478</v>
      </c>
      <c r="AO152" s="90"/>
      <c r="AP152" s="59">
        <f t="shared" si="97"/>
        <v>-0.79554074749705694</v>
      </c>
      <c r="AQ152" s="59">
        <f t="shared" si="98"/>
        <v>-0.93326170249225693</v>
      </c>
      <c r="AR152" s="59">
        <f t="shared" si="99"/>
        <v>93.35098327234229</v>
      </c>
      <c r="AS152" s="59">
        <f t="shared" si="100"/>
        <v>-0.31399415098950656</v>
      </c>
      <c r="AT152" s="59">
        <f t="shared" si="101"/>
        <v>0.85458143751688076</v>
      </c>
      <c r="AU152" s="59">
        <f t="shared" si="102"/>
        <v>8.7721588042132925E-2</v>
      </c>
      <c r="AV152" s="59">
        <f t="shared" si="103"/>
        <v>0.58587407445163819</v>
      </c>
      <c r="AW152" s="59">
        <f t="shared" si="104"/>
        <v>4.7077738052183848E-2</v>
      </c>
      <c r="AX152" s="59">
        <f t="shared" si="105"/>
        <v>-0.24455880797810159</v>
      </c>
      <c r="AY152" s="59">
        <f t="shared" si="106"/>
        <v>0.66424972038491892</v>
      </c>
      <c r="AZ152" s="87">
        <f t="shared" si="107"/>
        <v>9.3303132421833119</v>
      </c>
    </row>
    <row r="153" spans="1:52" ht="26.25" thickBot="1">
      <c r="A153" s="513" t="s">
        <v>78</v>
      </c>
      <c r="B153" s="14">
        <v>-16850743</v>
      </c>
      <c r="C153" s="15">
        <v>6784345</v>
      </c>
      <c r="D153" s="15">
        <v>681439</v>
      </c>
      <c r="E153" s="15">
        <v>27521</v>
      </c>
      <c r="F153" s="15">
        <v>-1238582</v>
      </c>
      <c r="G153" s="15">
        <v>452662</v>
      </c>
      <c r="H153" s="15">
        <v>1445298</v>
      </c>
      <c r="I153" s="15">
        <v>2788434</v>
      </c>
      <c r="J153" s="15">
        <v>6553718</v>
      </c>
      <c r="K153" s="15">
        <v>4253244</v>
      </c>
      <c r="L153" s="25">
        <v>4594065</v>
      </c>
      <c r="M153" s="463"/>
      <c r="O153" s="61">
        <f t="shared" si="83"/>
        <v>-0.66252950632797869</v>
      </c>
      <c r="P153" s="62">
        <f t="shared" si="84"/>
        <v>0.46755683104110735</v>
      </c>
      <c r="Q153" s="62">
        <f t="shared" si="85"/>
        <v>5.9286930581361481E-2</v>
      </c>
      <c r="R153" s="62">
        <f t="shared" si="86"/>
        <v>1.6368075134347753E-3</v>
      </c>
      <c r="S153" s="62">
        <f t="shared" si="87"/>
        <v>-4.7559831471557359E-2</v>
      </c>
      <c r="T153" s="62">
        <f t="shared" si="88"/>
        <v>1.3132536139555078E-2</v>
      </c>
      <c r="U153" s="62">
        <f t="shared" si="89"/>
        <v>2.1198996856154933E-2</v>
      </c>
      <c r="V153" s="62">
        <f t="shared" si="90"/>
        <v>1.8937359376082059E-2</v>
      </c>
      <c r="W153" s="62">
        <f t="shared" si="108"/>
        <v>6.1944672105058149E-2</v>
      </c>
      <c r="X153" s="62">
        <f t="shared" si="91"/>
        <v>3.04940433450719E-2</v>
      </c>
      <c r="Y153" s="62">
        <f t="shared" si="92"/>
        <v>1.6129512634712045E-2</v>
      </c>
      <c r="Z153" s="66">
        <f t="shared" si="93"/>
        <v>-1.7974225642725711E-3</v>
      </c>
      <c r="AB153" s="69"/>
      <c r="AC153" s="62">
        <f t="shared" si="94"/>
        <v>-1.4026139974955407</v>
      </c>
      <c r="AD153" s="62">
        <f t="shared" si="82"/>
        <v>-0.89955714221490801</v>
      </c>
      <c r="AE153" s="62">
        <f t="shared" si="82"/>
        <v>-0.95961340633571013</v>
      </c>
      <c r="AF153" s="62">
        <f t="shared" si="95"/>
        <v>-46.004978016787177</v>
      </c>
      <c r="AG153" s="62">
        <f t="shared" si="82"/>
        <v>-1.365467930262187</v>
      </c>
      <c r="AH153" s="62">
        <f t="shared" si="82"/>
        <v>2.1928856409418063</v>
      </c>
      <c r="AI153" s="62">
        <f t="shared" si="82"/>
        <v>0.92931423139034308</v>
      </c>
      <c r="AJ153" s="62">
        <f t="shared" si="82"/>
        <v>1.3503220804222011</v>
      </c>
      <c r="AK153" s="62">
        <f t="shared" si="82"/>
        <v>-0.35101815488551691</v>
      </c>
      <c r="AL153" s="62">
        <f t="shared" si="82"/>
        <v>8.0132012177058343E-2</v>
      </c>
      <c r="AM153" s="66">
        <f t="shared" si="96"/>
        <v>-4.6430594683049629</v>
      </c>
      <c r="AO153" s="91"/>
      <c r="AP153" s="62">
        <f t="shared" si="97"/>
        <v>-1.3702197678119914</v>
      </c>
      <c r="AQ153" s="62">
        <f t="shared" si="98"/>
        <v>-0.90669497651175845</v>
      </c>
      <c r="AR153" s="62">
        <f t="shared" si="99"/>
        <v>-0.96225199208870937</v>
      </c>
      <c r="AS153" s="62">
        <f t="shared" si="100"/>
        <v>-43.262163599199155</v>
      </c>
      <c r="AT153" s="62">
        <f t="shared" si="101"/>
        <v>-1.3464232344766258</v>
      </c>
      <c r="AU153" s="62">
        <f t="shared" si="102"/>
        <v>2.0451188697047411</v>
      </c>
      <c r="AV153" s="62">
        <f t="shared" si="103"/>
        <v>0.84658712805354441</v>
      </c>
      <c r="AW153" s="62">
        <f t="shared" si="104"/>
        <v>1.2237885139769147</v>
      </c>
      <c r="AX153" s="62">
        <f t="shared" si="105"/>
        <v>-0.39724914543096213</v>
      </c>
      <c r="AY153" s="62">
        <f>IF(AL153="",,(((AL153+1)/($L$183+1))-1))</f>
        <v>5.8952953114763007E-2</v>
      </c>
      <c r="AZ153" s="88">
        <f>AVERAGE(AO153:AY153)</f>
        <v>-4.4070555250669239</v>
      </c>
    </row>
    <row r="155" spans="1:52" ht="15.75" thickBot="1"/>
    <row r="156" spans="1:52">
      <c r="A156" s="673" t="s">
        <v>239</v>
      </c>
      <c r="B156" s="674"/>
      <c r="C156" s="674"/>
      <c r="D156" s="674"/>
      <c r="E156" s="674"/>
      <c r="F156" s="674"/>
      <c r="G156" s="674"/>
      <c r="H156" s="674"/>
      <c r="I156" s="674"/>
      <c r="J156" s="674"/>
      <c r="K156" s="674"/>
      <c r="L156" s="674"/>
      <c r="M156" s="675"/>
    </row>
    <row r="157" spans="1:52" ht="15.75" thickBot="1">
      <c r="A157" s="687" t="s">
        <v>240</v>
      </c>
      <c r="B157" s="688"/>
      <c r="C157" s="688"/>
      <c r="D157" s="688"/>
      <c r="E157" s="688"/>
      <c r="F157" s="688"/>
      <c r="G157" s="688"/>
      <c r="H157" s="688"/>
      <c r="I157" s="688"/>
      <c r="J157" s="688"/>
      <c r="K157" s="688"/>
      <c r="L157" s="688"/>
      <c r="M157" s="689"/>
    </row>
    <row r="158" spans="1:52" ht="30">
      <c r="A158" s="29" t="s">
        <v>241</v>
      </c>
      <c r="B158" s="488">
        <f>B41/B106</f>
        <v>0.88198522712217897</v>
      </c>
      <c r="C158" s="488">
        <f t="shared" ref="C158:L158" si="109">C41/C106</f>
        <v>0.74571780318166192</v>
      </c>
      <c r="D158" s="488">
        <f t="shared" si="109"/>
        <v>0.50041424987754168</v>
      </c>
      <c r="E158" s="488">
        <f t="shared" si="109"/>
        <v>0.76029406425672874</v>
      </c>
      <c r="F158" s="488">
        <f t="shared" si="109"/>
        <v>0.72045712382548077</v>
      </c>
      <c r="G158" s="488">
        <f t="shared" si="109"/>
        <v>0.96312993742545305</v>
      </c>
      <c r="H158" s="488">
        <f t="shared" si="109"/>
        <v>1.0443603581023004</v>
      </c>
      <c r="I158" s="488">
        <f t="shared" si="109"/>
        <v>1.7176679219045445</v>
      </c>
      <c r="J158" s="488">
        <f t="shared" si="109"/>
        <v>1.3528396458980132</v>
      </c>
      <c r="K158" s="488">
        <f t="shared" si="109"/>
        <v>1.5349431359127095</v>
      </c>
      <c r="L158" s="488">
        <f t="shared" si="109"/>
        <v>1.2947312364768944</v>
      </c>
      <c r="M158" s="489">
        <f>AVERAGE(B158:L158)</f>
        <v>1.0469582458166824</v>
      </c>
    </row>
    <row r="159" spans="1:52" ht="45">
      <c r="A159" s="29" t="s">
        <v>242</v>
      </c>
      <c r="B159" s="490">
        <f>(B41-B37)/B124</f>
        <v>0.60065343565178808</v>
      </c>
      <c r="C159" s="490">
        <f t="shared" ref="C159:L159" si="110">(C41-C37)/C124</f>
        <v>0.4691192910749416</v>
      </c>
      <c r="D159" s="490">
        <f t="shared" si="110"/>
        <v>0.37396208288210531</v>
      </c>
      <c r="E159" s="490">
        <f t="shared" si="110"/>
        <v>0.48482645634747223</v>
      </c>
      <c r="F159" s="490">
        <f t="shared" si="110"/>
        <v>0.37040052377428812</v>
      </c>
      <c r="G159" s="490">
        <f t="shared" si="110"/>
        <v>0.58870924459985641</v>
      </c>
      <c r="H159" s="490">
        <f t="shared" si="110"/>
        <v>0.53200315572741252</v>
      </c>
      <c r="I159" s="490">
        <f t="shared" si="110"/>
        <v>0.87715237325402817</v>
      </c>
      <c r="J159" s="490">
        <f t="shared" si="110"/>
        <v>0.60031098699489127</v>
      </c>
      <c r="K159" s="490">
        <f t="shared" si="110"/>
        <v>0.78350004398035944</v>
      </c>
      <c r="L159" s="490">
        <f t="shared" si="110"/>
        <v>0.72224933463134078</v>
      </c>
      <c r="M159" s="491">
        <f>AVERAGE(B159:L159)</f>
        <v>0.58208062990168041</v>
      </c>
    </row>
    <row r="160" spans="1:52" ht="30.75" thickBot="1">
      <c r="A160" s="34" t="s">
        <v>243</v>
      </c>
      <c r="B160" s="35">
        <f>B41-B106</f>
        <v>-3444705</v>
      </c>
      <c r="C160" s="35">
        <f t="shared" ref="C160:L160" si="111">C41-C106</f>
        <v>-3442717</v>
      </c>
      <c r="D160" s="35">
        <f t="shared" si="111"/>
        <v>-3767547</v>
      </c>
      <c r="E160" s="35">
        <f t="shared" si="111"/>
        <v>-2475931</v>
      </c>
      <c r="F160" s="35">
        <f t="shared" si="111"/>
        <v>-3941502</v>
      </c>
      <c r="G160" s="35">
        <f t="shared" si="111"/>
        <v>-606335</v>
      </c>
      <c r="H160" s="35">
        <f t="shared" si="111"/>
        <v>1243851</v>
      </c>
      <c r="I160" s="35">
        <f t="shared" si="111"/>
        <v>43910857</v>
      </c>
      <c r="J160" s="35">
        <f t="shared" si="111"/>
        <v>10936473</v>
      </c>
      <c r="K160" s="35">
        <f t="shared" si="111"/>
        <v>25633609</v>
      </c>
      <c r="L160" s="35">
        <f t="shared" si="111"/>
        <v>27358132</v>
      </c>
      <c r="M160" s="36">
        <f>AVERAGE(B160:L160)</f>
        <v>8309471.3636363633</v>
      </c>
    </row>
    <row r="161" spans="1:13" ht="15.75" thickBot="1"/>
    <row r="162" spans="1:13" ht="15.75" thickBot="1">
      <c r="A162" s="690" t="s">
        <v>244</v>
      </c>
      <c r="B162" s="691"/>
      <c r="C162" s="691"/>
      <c r="D162" s="691"/>
      <c r="E162" s="691"/>
      <c r="F162" s="691"/>
      <c r="G162" s="691"/>
      <c r="H162" s="691"/>
      <c r="I162" s="691"/>
      <c r="J162" s="691"/>
      <c r="K162" s="691"/>
      <c r="L162" s="691"/>
      <c r="M162" s="692"/>
    </row>
    <row r="163" spans="1:13" ht="30">
      <c r="A163" s="29" t="s">
        <v>245</v>
      </c>
      <c r="B163" s="37"/>
      <c r="C163" s="469">
        <f>((AVERAGE(B10:C10))*360)/C142</f>
        <v>239.95698337528543</v>
      </c>
      <c r="D163" s="469">
        <f t="shared" ref="D163:L163" si="112">((AVERAGE(C10:D10))*360)/D142</f>
        <v>34.372405366456483</v>
      </c>
      <c r="E163" s="469">
        <f t="shared" si="112"/>
        <v>21.907061259339635</v>
      </c>
      <c r="F163" s="469">
        <f t="shared" si="112"/>
        <v>28.385045322075474</v>
      </c>
      <c r="G163" s="469">
        <f t="shared" si="112"/>
        <v>45.178599207363007</v>
      </c>
      <c r="H163" s="469">
        <f t="shared" si="112"/>
        <v>31.799319014468963</v>
      </c>
      <c r="I163" s="469">
        <f t="shared" si="112"/>
        <v>83.228611977280096</v>
      </c>
      <c r="J163" s="469">
        <f t="shared" si="112"/>
        <v>116.96873473262545</v>
      </c>
      <c r="K163" s="469">
        <f t="shared" si="112"/>
        <v>26.703863393720049</v>
      </c>
      <c r="L163" s="469">
        <f t="shared" si="112"/>
        <v>35.854996075868684</v>
      </c>
      <c r="M163" s="472">
        <f t="shared" ref="M163:M168" si="113">AVERAGE(C163:L163)</f>
        <v>66.435561972448326</v>
      </c>
    </row>
    <row r="164" spans="1:13" ht="45">
      <c r="A164" s="29" t="s">
        <v>246</v>
      </c>
      <c r="B164" s="37"/>
      <c r="C164" s="469">
        <f>(AVERAGE(B37:C37)*360)/C143</f>
        <v>198.19876230732427</v>
      </c>
      <c r="D164" s="469">
        <f t="shared" ref="D164:L164" si="114">(AVERAGE(C37:D37)*360)/D143</f>
        <v>109.88198964163688</v>
      </c>
      <c r="E164" s="469">
        <f t="shared" si="114"/>
        <v>54.031510127706312</v>
      </c>
      <c r="F164" s="469">
        <f t="shared" si="114"/>
        <v>68.980310007299579</v>
      </c>
      <c r="G164" s="469">
        <f t="shared" si="114"/>
        <v>77.79945074931743</v>
      </c>
      <c r="H164" s="469">
        <f t="shared" si="114"/>
        <v>75.779114041643552</v>
      </c>
      <c r="I164" s="469">
        <f t="shared" si="114"/>
        <v>83.330484219043541</v>
      </c>
      <c r="J164" s="469">
        <f t="shared" si="114"/>
        <v>140.22815545320239</v>
      </c>
      <c r="K164" s="469">
        <f t="shared" si="114"/>
        <v>108.26130246865705</v>
      </c>
      <c r="L164" s="469">
        <f t="shared" si="114"/>
        <v>74.056081950841715</v>
      </c>
      <c r="M164" s="472">
        <f t="shared" si="113"/>
        <v>99.054716096667278</v>
      </c>
    </row>
    <row r="165" spans="1:13" ht="60">
      <c r="A165" s="29" t="s">
        <v>247</v>
      </c>
      <c r="B165" s="37"/>
      <c r="C165" s="469">
        <f>(AVERAGE(B91:C91)*360)/C75</f>
        <v>699.81978210470697</v>
      </c>
      <c r="D165" s="469">
        <f t="shared" ref="D165:L165" si="115">(AVERAGE(C91:D91)*360)/D75</f>
        <v>1512.0470904789888</v>
      </c>
      <c r="E165" s="469">
        <f t="shared" si="115"/>
        <v>644.09700001898318</v>
      </c>
      <c r="F165" s="469">
        <f t="shared" si="115"/>
        <v>378.04097417040157</v>
      </c>
      <c r="G165" s="469">
        <f t="shared" si="115"/>
        <v>221.89318378738878</v>
      </c>
      <c r="H165" s="469">
        <f t="shared" si="115"/>
        <v>169.10020123116408</v>
      </c>
      <c r="I165" s="469">
        <f t="shared" si="115"/>
        <v>88.652795561255559</v>
      </c>
      <c r="J165" s="469">
        <f t="shared" si="115"/>
        <v>157.87979432192543</v>
      </c>
      <c r="K165" s="469">
        <f t="shared" si="115"/>
        <v>143.06952331015268</v>
      </c>
      <c r="L165" s="469">
        <f t="shared" si="115"/>
        <v>123.39450844637794</v>
      </c>
      <c r="M165" s="472">
        <f t="shared" si="113"/>
        <v>413.79948534313451</v>
      </c>
    </row>
    <row r="166" spans="1:13" ht="45">
      <c r="A166" s="29" t="s">
        <v>248</v>
      </c>
      <c r="B166" s="37"/>
      <c r="C166" s="469">
        <f>C142/B69</f>
        <v>0.36280119389168392</v>
      </c>
      <c r="D166" s="469">
        <f t="shared" ref="D166:L166" si="116">D142/C69</f>
        <v>0.5657654748620401</v>
      </c>
      <c r="E166" s="469">
        <f t="shared" si="116"/>
        <v>1.6751363839379338</v>
      </c>
      <c r="F166" s="469">
        <f t="shared" si="116"/>
        <v>1.670794068684575</v>
      </c>
      <c r="G166" s="469">
        <f t="shared" si="116"/>
        <v>1.5337029394198156</v>
      </c>
      <c r="H166" s="469">
        <f t="shared" si="116"/>
        <v>2.777724993668623</v>
      </c>
      <c r="I166" s="469">
        <f t="shared" si="116"/>
        <v>3.1392408827994913</v>
      </c>
      <c r="J166" s="469">
        <f t="shared" si="116"/>
        <v>0.84020559490875146</v>
      </c>
      <c r="K166" s="469">
        <f t="shared" si="116"/>
        <v>2.1486437348991458</v>
      </c>
      <c r="L166" s="469">
        <f t="shared" si="116"/>
        <v>2.8030443130671974</v>
      </c>
      <c r="M166" s="472">
        <f t="shared" si="113"/>
        <v>1.7517059580139258</v>
      </c>
    </row>
    <row r="167" spans="1:13" ht="30">
      <c r="A167" s="29" t="s">
        <v>249</v>
      </c>
      <c r="B167" s="37"/>
      <c r="C167" s="469">
        <f>C142/B49</f>
        <v>3.4005713629514012</v>
      </c>
      <c r="D167" s="469">
        <f t="shared" ref="D167:L167" si="117">D142/C49</f>
        <v>3.0454397558119202</v>
      </c>
      <c r="E167" s="469">
        <f t="shared" si="117"/>
        <v>16.755151459588522</v>
      </c>
      <c r="F167" s="469">
        <f t="shared" si="117"/>
        <v>8.5002944123666246</v>
      </c>
      <c r="G167" s="469">
        <f t="shared" si="117"/>
        <v>6.1589290398295518</v>
      </c>
      <c r="H167" s="469">
        <f t="shared" si="117"/>
        <v>11.471168068475365</v>
      </c>
      <c r="I167" s="469">
        <f t="shared" si="117"/>
        <v>13.372940919073368</v>
      </c>
      <c r="J167" s="469">
        <f t="shared" si="117"/>
        <v>8.6144797654115575</v>
      </c>
      <c r="K167" s="469">
        <f t="shared" si="117"/>
        <v>9.6901510069352206</v>
      </c>
      <c r="L167" s="469">
        <f t="shared" si="117"/>
        <v>16.066311999809567</v>
      </c>
      <c r="M167" s="472">
        <f t="shared" si="113"/>
        <v>9.7075437790253112</v>
      </c>
    </row>
    <row r="168" spans="1:13" ht="15.75" thickBot="1">
      <c r="A168" s="34" t="s">
        <v>250</v>
      </c>
      <c r="B168" s="26"/>
      <c r="C168" s="474">
        <f>(C164+C163)-C165</f>
        <v>-261.6640364220973</v>
      </c>
      <c r="D168" s="474">
        <f t="shared" ref="D168:L168" si="118">(D164+D163)-D165</f>
        <v>-1367.7926954708955</v>
      </c>
      <c r="E168" s="474">
        <f t="shared" si="118"/>
        <v>-568.15842863193723</v>
      </c>
      <c r="F168" s="474">
        <f t="shared" si="118"/>
        <v>-280.67561884102651</v>
      </c>
      <c r="G168" s="474">
        <f t="shared" si="118"/>
        <v>-98.915133830708342</v>
      </c>
      <c r="H168" s="474">
        <f t="shared" si="118"/>
        <v>-61.521768175051562</v>
      </c>
      <c r="I168" s="474">
        <f t="shared" si="118"/>
        <v>77.906300635068092</v>
      </c>
      <c r="J168" s="474">
        <f t="shared" si="118"/>
        <v>99.317095863902409</v>
      </c>
      <c r="K168" s="474">
        <f t="shared" si="118"/>
        <v>-8.104357447775584</v>
      </c>
      <c r="L168" s="474">
        <f t="shared" si="118"/>
        <v>-13.483430419667542</v>
      </c>
      <c r="M168" s="473">
        <f t="shared" si="113"/>
        <v>-248.30920727401889</v>
      </c>
    </row>
    <row r="169" spans="1:13" ht="15.75" thickBot="1"/>
    <row r="170" spans="1:13" ht="15.75" thickBot="1">
      <c r="A170" s="693" t="s">
        <v>251</v>
      </c>
      <c r="B170" s="694"/>
      <c r="C170" s="694"/>
      <c r="D170" s="694"/>
      <c r="E170" s="694"/>
      <c r="F170" s="694"/>
      <c r="G170" s="694"/>
      <c r="H170" s="694"/>
      <c r="I170" s="694"/>
      <c r="J170" s="694"/>
      <c r="K170" s="694"/>
      <c r="L170" s="694"/>
      <c r="M170" s="695"/>
    </row>
    <row r="171" spans="1:13" ht="30">
      <c r="A171" s="43" t="s">
        <v>252</v>
      </c>
      <c r="B171" s="470">
        <f>B69/B137</f>
        <v>6.3313883475303738</v>
      </c>
      <c r="C171" s="470">
        <f t="shared" ref="C171:L171" si="119">C69/C137</f>
        <v>3.4403401104800224</v>
      </c>
      <c r="D171" s="470">
        <f t="shared" si="119"/>
        <v>5.1592813503286079</v>
      </c>
      <c r="E171" s="470">
        <f t="shared" si="119"/>
        <v>4.2744882092740726</v>
      </c>
      <c r="F171" s="470">
        <f t="shared" si="119"/>
        <v>3.5903687771973165</v>
      </c>
      <c r="G171" s="470">
        <f t="shared" si="119"/>
        <v>3.9405618639383326</v>
      </c>
      <c r="H171" s="470">
        <f t="shared" si="119"/>
        <v>2.8518593934464991</v>
      </c>
      <c r="I171" s="470">
        <f t="shared" si="119"/>
        <v>2.9187973808177405</v>
      </c>
      <c r="J171" s="470">
        <f t="shared" si="119"/>
        <v>2.2296985730341095</v>
      </c>
      <c r="K171" s="470">
        <f t="shared" si="119"/>
        <v>2.0854237723230753</v>
      </c>
      <c r="L171" s="470">
        <f t="shared" si="119"/>
        <v>2.7893275683133769</v>
      </c>
      <c r="M171" s="475">
        <f>AVERAGE(B171:L171)</f>
        <v>3.6010486678803204</v>
      </c>
    </row>
    <row r="172" spans="1:13" ht="30">
      <c r="A172" s="43" t="s">
        <v>253</v>
      </c>
      <c r="B172" s="470">
        <f>B124/B69</f>
        <v>0.84205675831114346</v>
      </c>
      <c r="C172" s="470">
        <f t="shared" ref="C172:L172" si="120">C124/C69</f>
        <v>0.70933106382308453</v>
      </c>
      <c r="D172" s="470">
        <f t="shared" si="120"/>
        <v>0.806174555699253</v>
      </c>
      <c r="E172" s="470">
        <f t="shared" si="120"/>
        <v>0.76605386398531494</v>
      </c>
      <c r="F172" s="470">
        <f t="shared" si="120"/>
        <v>0.72147707880286005</v>
      </c>
      <c r="G172" s="470">
        <f t="shared" si="120"/>
        <v>0.74622908241806774</v>
      </c>
      <c r="H172" s="470">
        <f t="shared" si="120"/>
        <v>0.6493515766247191</v>
      </c>
      <c r="I172" s="470">
        <f t="shared" si="120"/>
        <v>0.65739314192483056</v>
      </c>
      <c r="J172" s="470">
        <f t="shared" si="120"/>
        <v>0.5515088846115962</v>
      </c>
      <c r="K172" s="470">
        <f t="shared" si="120"/>
        <v>0.52048115434780839</v>
      </c>
      <c r="L172" s="470">
        <f t="shared" si="120"/>
        <v>0.64149065482306544</v>
      </c>
      <c r="M172" s="475">
        <f>AVERAGE(B172:L172)</f>
        <v>0.69195889230652208</v>
      </c>
    </row>
    <row r="173" spans="1:13" ht="60">
      <c r="A173" s="43" t="s">
        <v>254</v>
      </c>
      <c r="B173" s="470">
        <f>B150/B152</f>
        <v>-43.441354246365727</v>
      </c>
      <c r="C173" s="470">
        <f t="shared" ref="C173:L173" si="121">C150/C152</f>
        <v>71.451696550368069</v>
      </c>
      <c r="D173" s="470">
        <f t="shared" si="121"/>
        <v>49.222374273007183</v>
      </c>
      <c r="E173" s="470">
        <f t="shared" si="121"/>
        <v>0.43371217577114235</v>
      </c>
      <c r="F173" s="470">
        <f t="shared" si="121"/>
        <v>-2.8613151723354062</v>
      </c>
      <c r="G173" s="470">
        <f t="shared" si="121"/>
        <v>0.86418005470214365</v>
      </c>
      <c r="H173" s="470">
        <f t="shared" si="121"/>
        <v>1.6958707428047515</v>
      </c>
      <c r="I173" s="470">
        <f t="shared" si="121"/>
        <v>2.4049267851989411</v>
      </c>
      <c r="J173" s="470">
        <f t="shared" si="121"/>
        <v>4.715377585682992</v>
      </c>
      <c r="K173" s="470">
        <f t="shared" si="121"/>
        <v>3.9644226955950215</v>
      </c>
      <c r="L173" s="470">
        <f t="shared" si="121"/>
        <v>2.8862458736389169</v>
      </c>
      <c r="M173" s="472">
        <f>AVERAGE(B173:L173)</f>
        <v>8.3032852107334563</v>
      </c>
    </row>
    <row r="174" spans="1:13" ht="45.75" thickBot="1">
      <c r="A174" s="45" t="s">
        <v>255</v>
      </c>
      <c r="B174" s="41">
        <f>B144/(B146+B145)</f>
        <v>0.33056460298228085</v>
      </c>
      <c r="C174" s="41">
        <f t="shared" ref="C174:K174" si="122">C144/(C146+C145)</f>
        <v>0.68060728735997966</v>
      </c>
      <c r="D174" s="41">
        <f t="shared" si="122"/>
        <v>0.7982788710156874</v>
      </c>
      <c r="E174" s="41">
        <f t="shared" si="122"/>
        <v>0.9483526305212342</v>
      </c>
      <c r="F174" s="41">
        <f t="shared" si="122"/>
        <v>0.87703917418390609</v>
      </c>
      <c r="G174" s="41">
        <f t="shared" si="122"/>
        <v>0.92527411118808045</v>
      </c>
      <c r="H174" s="41">
        <f t="shared" si="122"/>
        <v>1.0720425988642261</v>
      </c>
      <c r="I174" s="41">
        <f t="shared" si="122"/>
        <v>1.1412049474008819</v>
      </c>
      <c r="J174" s="41">
        <f t="shared" si="122"/>
        <v>1.1241613549934439</v>
      </c>
      <c r="K174" s="41">
        <f t="shared" si="122"/>
        <v>1.100930196613682</v>
      </c>
      <c r="L174" s="41">
        <f>L144/(L146+L145)</f>
        <v>1.1463650239259493</v>
      </c>
      <c r="M174" s="473">
        <f>AVERAGE(B174:L174)</f>
        <v>0.92225643627721365</v>
      </c>
    </row>
    <row r="175" spans="1:13" ht="15.75" thickBot="1"/>
    <row r="176" spans="1:13" ht="15.75" thickBot="1">
      <c r="A176" s="690" t="s">
        <v>256</v>
      </c>
      <c r="B176" s="691"/>
      <c r="C176" s="691"/>
      <c r="D176" s="691"/>
      <c r="E176" s="691"/>
      <c r="F176" s="691"/>
      <c r="G176" s="691"/>
      <c r="H176" s="691"/>
      <c r="I176" s="691"/>
      <c r="J176" s="691"/>
      <c r="K176" s="691"/>
      <c r="L176" s="691"/>
      <c r="M176" s="692"/>
    </row>
    <row r="177" spans="1:13" ht="45">
      <c r="A177" s="43" t="s">
        <v>257</v>
      </c>
      <c r="B177" s="38"/>
      <c r="C177" s="469">
        <f>C153/B137</f>
        <v>1.073994522969792</v>
      </c>
      <c r="D177" s="469">
        <f t="shared" ref="D177:L177" si="123">D153/C137</f>
        <v>0.11539760276640351</v>
      </c>
      <c r="E177" s="469">
        <f t="shared" si="123"/>
        <v>1.4146108779212555E-2</v>
      </c>
      <c r="F177" s="469">
        <f t="shared" si="123"/>
        <v>-0.33966230724720348</v>
      </c>
      <c r="G177" s="469">
        <f t="shared" si="123"/>
        <v>7.231508700505257E-2</v>
      </c>
      <c r="H177" s="469">
        <f t="shared" si="123"/>
        <v>0.23203991997638015</v>
      </c>
      <c r="I177" s="469">
        <f t="shared" si="123"/>
        <v>0.16953999733812561</v>
      </c>
      <c r="J177" s="469">
        <f t="shared" si="123"/>
        <v>0.15191248759544312</v>
      </c>
      <c r="K177" s="469">
        <f t="shared" si="123"/>
        <v>0.14609171271629126</v>
      </c>
      <c r="L177" s="469">
        <f t="shared" si="123"/>
        <v>9.4285634596452214E-2</v>
      </c>
      <c r="M177" s="472">
        <f>AVERAGE(B177:L177)</f>
        <v>0.17300607664959494</v>
      </c>
    </row>
    <row r="178" spans="1:13" ht="60">
      <c r="A178" s="43" t="s">
        <v>258</v>
      </c>
      <c r="B178" s="38"/>
      <c r="C178" s="469">
        <f>C142/B69</f>
        <v>0.36280119389168392</v>
      </c>
      <c r="D178" s="469">
        <f t="shared" ref="D178:L178" si="124">D142/C69</f>
        <v>0.5657654748620401</v>
      </c>
      <c r="E178" s="469">
        <f t="shared" si="124"/>
        <v>1.6751363839379338</v>
      </c>
      <c r="F178" s="469">
        <f t="shared" si="124"/>
        <v>1.670794068684575</v>
      </c>
      <c r="G178" s="469">
        <f t="shared" si="124"/>
        <v>1.5337029394198156</v>
      </c>
      <c r="H178" s="469">
        <f t="shared" si="124"/>
        <v>2.777724993668623</v>
      </c>
      <c r="I178" s="469">
        <f t="shared" si="124"/>
        <v>3.1392408827994913</v>
      </c>
      <c r="J178" s="469">
        <f t="shared" si="124"/>
        <v>0.84020559490875146</v>
      </c>
      <c r="K178" s="469">
        <f t="shared" si="124"/>
        <v>2.1486437348991458</v>
      </c>
      <c r="L178" s="469">
        <f t="shared" si="124"/>
        <v>2.8030443130671974</v>
      </c>
      <c r="M178" s="472">
        <f>AVERAGE(C178:L178)</f>
        <v>1.7517059580139258</v>
      </c>
    </row>
    <row r="179" spans="1:13">
      <c r="A179" s="47" t="s">
        <v>259</v>
      </c>
      <c r="B179" s="96">
        <f>B153/B142</f>
        <v>-0.66252950632797869</v>
      </c>
      <c r="C179" s="96">
        <f t="shared" ref="C179:L179" si="125">C153/C142</f>
        <v>0.46755683104110735</v>
      </c>
      <c r="D179" s="96">
        <f t="shared" si="125"/>
        <v>5.9286930581361481E-2</v>
      </c>
      <c r="E179" s="96">
        <f t="shared" si="125"/>
        <v>1.6368075134347753E-3</v>
      </c>
      <c r="F179" s="96">
        <f t="shared" si="125"/>
        <v>-4.7559831471557359E-2</v>
      </c>
      <c r="G179" s="96">
        <f t="shared" si="125"/>
        <v>1.3132536139555078E-2</v>
      </c>
      <c r="H179" s="96">
        <f t="shared" si="125"/>
        <v>2.1198996856154933E-2</v>
      </c>
      <c r="I179" s="96">
        <f t="shared" si="125"/>
        <v>1.8937359376082059E-2</v>
      </c>
      <c r="J179" s="96">
        <f t="shared" si="125"/>
        <v>6.1944672105058149E-2</v>
      </c>
      <c r="K179" s="96">
        <f t="shared" si="125"/>
        <v>3.04940433450719E-2</v>
      </c>
      <c r="L179" s="96">
        <f t="shared" si="125"/>
        <v>1.6129512634712045E-2</v>
      </c>
      <c r="M179" s="153">
        <f>AVERAGE(B179:L179)</f>
        <v>-1.7974225642725711E-3</v>
      </c>
    </row>
    <row r="180" spans="1:13" ht="30.75" thickBot="1">
      <c r="A180" s="48" t="s">
        <v>260</v>
      </c>
      <c r="B180" s="99">
        <f>B147/B142</f>
        <v>-0.59423929062378078</v>
      </c>
      <c r="C180" s="99">
        <f t="shared" ref="C180:L180" si="126">C147/C142</f>
        <v>-0.2093018816275774</v>
      </c>
      <c r="D180" s="99">
        <f t="shared" si="126"/>
        <v>-0.10562196556856689</v>
      </c>
      <c r="E180" s="99">
        <f t="shared" si="126"/>
        <v>-2.411943312373601E-2</v>
      </c>
      <c r="F180" s="99">
        <f t="shared" si="126"/>
        <v>-5.2871818862067071E-2</v>
      </c>
      <c r="G180" s="99">
        <f t="shared" si="126"/>
        <v>-3.0841943694957012E-2</v>
      </c>
      <c r="H180" s="99">
        <f t="shared" si="126"/>
        <v>2.4738895409434702E-2</v>
      </c>
      <c r="I180" s="99">
        <f t="shared" si="126"/>
        <v>4.1023827931888246E-2</v>
      </c>
      <c r="J180" s="99">
        <f t="shared" si="126"/>
        <v>3.9525520445773572E-2</v>
      </c>
      <c r="K180" s="99">
        <f t="shared" si="126"/>
        <v>3.4242889138615493E-2</v>
      </c>
      <c r="L180" s="99">
        <f t="shared" si="126"/>
        <v>4.1636775206651017E-2</v>
      </c>
      <c r="M180" s="154">
        <f>AVERAGE(B180:L180)</f>
        <v>-7.5984402306211091E-2</v>
      </c>
    </row>
    <row r="181" spans="1:13" ht="15.75" thickBot="1"/>
    <row r="182" spans="1:13" ht="15.75" thickBot="1">
      <c r="A182" s="682" t="s">
        <v>264</v>
      </c>
      <c r="B182" s="683"/>
      <c r="C182" s="683"/>
      <c r="D182" s="683"/>
      <c r="E182" s="683"/>
      <c r="F182" s="683"/>
      <c r="G182" s="683"/>
      <c r="H182" s="683"/>
      <c r="I182" s="683"/>
      <c r="J182" s="683"/>
      <c r="K182" s="683"/>
      <c r="L182" s="683"/>
      <c r="M182" s="684"/>
    </row>
    <row r="183" spans="1:13" ht="30.75" thickBot="1">
      <c r="A183" s="70" t="s">
        <v>265</v>
      </c>
      <c r="B183" s="71">
        <v>9.2299999999999993E-2</v>
      </c>
      <c r="C183" s="72">
        <v>8.7499999999999994E-2</v>
      </c>
      <c r="D183" s="72">
        <v>7.6499999999999999E-2</v>
      </c>
      <c r="E183" s="72">
        <v>6.9900000000000004E-2</v>
      </c>
      <c r="F183" s="72">
        <v>6.4899999999999999E-2</v>
      </c>
      <c r="G183" s="73">
        <v>5.4975226515432629E-2</v>
      </c>
      <c r="H183" s="73">
        <v>4.8525780949691733E-2</v>
      </c>
      <c r="I183" s="74">
        <v>4.48E-2</v>
      </c>
      <c r="J183" s="74">
        <v>5.6899999999999999E-2</v>
      </c>
      <c r="K183" s="74">
        <v>7.6700000000000004E-2</v>
      </c>
      <c r="L183" s="75">
        <v>0.02</v>
      </c>
      <c r="M183" s="103">
        <f>AVERAGE(B183:L183)</f>
        <v>6.3000091587738574E-2</v>
      </c>
    </row>
  </sheetData>
  <mergeCells count="18">
    <mergeCell ref="A182:M182"/>
    <mergeCell ref="AO141:AZ141"/>
    <mergeCell ref="O1:Z1"/>
    <mergeCell ref="O3:Z3"/>
    <mergeCell ref="O141:Z141"/>
    <mergeCell ref="AB1:AM1"/>
    <mergeCell ref="AB3:AM3"/>
    <mergeCell ref="AB141:AM141"/>
    <mergeCell ref="A170:M170"/>
    <mergeCell ref="A176:M176"/>
    <mergeCell ref="A1:M1"/>
    <mergeCell ref="B3:M3"/>
    <mergeCell ref="A141:L141"/>
    <mergeCell ref="A156:M156"/>
    <mergeCell ref="A157:M157"/>
    <mergeCell ref="A162:M162"/>
    <mergeCell ref="AO1:AZ1"/>
    <mergeCell ref="AO3:AZ3"/>
  </mergeCells>
  <pageMargins left="0.7" right="0.7" top="0.75" bottom="0.75" header="0.3" footer="0.3"/>
  <ignoredErrors>
    <ignoredError sqref="M178" formula="1"/>
    <ignoredError sqref="C164:L165 C163:L16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Z156"/>
  <sheetViews>
    <sheetView zoomScaleNormal="100" workbookViewId="0">
      <pane xSplit="1" ySplit="2" topLeftCell="M3" activePane="bottomRight" state="frozen"/>
      <selection pane="topRight" activeCell="B1" sqref="B1"/>
      <selection pane="bottomLeft" activeCell="A3" sqref="A3"/>
      <selection pane="bottomRight" sqref="A1:M1"/>
    </sheetView>
  </sheetViews>
  <sheetFormatPr defaultColWidth="11.42578125" defaultRowHeight="15"/>
  <cols>
    <col min="1" max="1" width="14.28515625" customWidth="1"/>
    <col min="2" max="2" width="12.28515625" bestFit="1" customWidth="1"/>
    <col min="3" max="4" width="12.5703125" bestFit="1" customWidth="1"/>
    <col min="5" max="5" width="12.28515625" bestFit="1" customWidth="1"/>
    <col min="6" max="8" width="11.7109375" bestFit="1" customWidth="1"/>
    <col min="9" max="11" width="12.5703125" bestFit="1" customWidth="1"/>
    <col min="12" max="12" width="12.42578125" bestFit="1" customWidth="1"/>
    <col min="13" max="13" width="12.140625" bestFit="1" customWidth="1"/>
    <col min="14" max="14" width="11.42578125" style="347"/>
  </cols>
  <sheetData>
    <row r="1" spans="1:52" ht="15.75" thickBot="1">
      <c r="A1" s="667" t="s">
        <v>1199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9"/>
      <c r="O1" s="667" t="s">
        <v>261</v>
      </c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9"/>
      <c r="AB1" s="667" t="s">
        <v>261</v>
      </c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9"/>
      <c r="AO1" s="667" t="s">
        <v>261</v>
      </c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9"/>
    </row>
    <row r="2" spans="1:52" ht="15.75" thickBot="1">
      <c r="A2" s="476" t="s">
        <v>80</v>
      </c>
      <c r="B2" s="477">
        <v>1999</v>
      </c>
      <c r="C2" s="478">
        <v>2000</v>
      </c>
      <c r="D2" s="477">
        <v>2001</v>
      </c>
      <c r="E2" s="478">
        <v>2002</v>
      </c>
      <c r="F2" s="477">
        <v>2003</v>
      </c>
      <c r="G2" s="478">
        <v>2004</v>
      </c>
      <c r="H2" s="477">
        <v>2005</v>
      </c>
      <c r="I2" s="478">
        <v>2006</v>
      </c>
      <c r="J2" s="477">
        <v>2007</v>
      </c>
      <c r="K2" s="478">
        <v>2008</v>
      </c>
      <c r="L2" s="477">
        <v>2009</v>
      </c>
      <c r="M2" s="479" t="s">
        <v>81</v>
      </c>
      <c r="O2" s="480">
        <v>1999</v>
      </c>
      <c r="P2" s="481">
        <v>2000</v>
      </c>
      <c r="Q2" s="482">
        <v>2001</v>
      </c>
      <c r="R2" s="481">
        <v>2002</v>
      </c>
      <c r="S2" s="482">
        <v>2003</v>
      </c>
      <c r="T2" s="481">
        <v>2004</v>
      </c>
      <c r="U2" s="482">
        <v>2005</v>
      </c>
      <c r="V2" s="481">
        <v>2006</v>
      </c>
      <c r="W2" s="482">
        <v>2007</v>
      </c>
      <c r="X2" s="481">
        <v>2008</v>
      </c>
      <c r="Y2" s="483">
        <v>2009</v>
      </c>
      <c r="Z2" s="484" t="s">
        <v>81</v>
      </c>
      <c r="AB2" s="480">
        <v>1999</v>
      </c>
      <c r="AC2" s="481">
        <v>2000</v>
      </c>
      <c r="AD2" s="482">
        <v>2001</v>
      </c>
      <c r="AE2" s="481">
        <v>2002</v>
      </c>
      <c r="AF2" s="482">
        <v>2003</v>
      </c>
      <c r="AG2" s="481">
        <v>2004</v>
      </c>
      <c r="AH2" s="482">
        <v>2005</v>
      </c>
      <c r="AI2" s="481">
        <v>2006</v>
      </c>
      <c r="AJ2" s="482">
        <v>2007</v>
      </c>
      <c r="AK2" s="481">
        <v>2008</v>
      </c>
      <c r="AL2" s="483">
        <v>2009</v>
      </c>
      <c r="AM2" s="484" t="s">
        <v>81</v>
      </c>
      <c r="AO2" s="480">
        <v>1999</v>
      </c>
      <c r="AP2" s="481">
        <v>2000</v>
      </c>
      <c r="AQ2" s="482">
        <v>2001</v>
      </c>
      <c r="AR2" s="481">
        <v>2002</v>
      </c>
      <c r="AS2" s="482">
        <v>2003</v>
      </c>
      <c r="AT2" s="481">
        <v>2004</v>
      </c>
      <c r="AU2" s="482">
        <v>2005</v>
      </c>
      <c r="AV2" s="481">
        <v>2006</v>
      </c>
      <c r="AW2" s="482">
        <v>2007</v>
      </c>
      <c r="AX2" s="481">
        <v>2008</v>
      </c>
      <c r="AY2" s="483">
        <v>2009</v>
      </c>
      <c r="AZ2" s="484" t="s">
        <v>81</v>
      </c>
    </row>
    <row r="3" spans="1:52" ht="15.75" customHeight="1" thickBot="1">
      <c r="A3" s="7"/>
      <c r="B3" s="670" t="s">
        <v>82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  <c r="O3" s="679" t="s">
        <v>262</v>
      </c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1"/>
      <c r="AB3" s="679" t="s">
        <v>263</v>
      </c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1"/>
      <c r="AO3" s="670" t="s">
        <v>266</v>
      </c>
      <c r="AP3" s="685"/>
      <c r="AQ3" s="685"/>
      <c r="AR3" s="685"/>
      <c r="AS3" s="685"/>
      <c r="AT3" s="685"/>
      <c r="AU3" s="685"/>
      <c r="AV3" s="685"/>
      <c r="AW3" s="685"/>
      <c r="AX3" s="685"/>
      <c r="AY3" s="685"/>
      <c r="AZ3" s="686"/>
    </row>
    <row r="4" spans="1:52">
      <c r="A4" s="508" t="s">
        <v>0</v>
      </c>
      <c r="B4" s="492">
        <v>32625</v>
      </c>
      <c r="C4" s="493">
        <v>27500</v>
      </c>
      <c r="D4" s="463">
        <v>38782</v>
      </c>
      <c r="E4" s="493">
        <v>30372</v>
      </c>
      <c r="F4" s="493">
        <v>39516</v>
      </c>
      <c r="G4" s="493">
        <v>30443</v>
      </c>
      <c r="H4" s="493">
        <v>44508</v>
      </c>
      <c r="I4" s="493">
        <v>60690</v>
      </c>
      <c r="J4" s="493">
        <v>54884</v>
      </c>
      <c r="K4" s="493">
        <v>80624</v>
      </c>
      <c r="L4" s="494">
        <v>42419</v>
      </c>
      <c r="M4" s="463"/>
      <c r="O4" s="55">
        <f>B4/$B$31</f>
        <v>1.1344862611540428E-2</v>
      </c>
      <c r="P4" s="56">
        <f>C4/$C$31</f>
        <v>8.8953323441723769E-3</v>
      </c>
      <c r="Q4" s="56">
        <f>D4/$D$31</f>
        <v>1.1506652923482628E-2</v>
      </c>
      <c r="R4" s="56">
        <f>E4/$E$31</f>
        <v>8.6201954160722988E-3</v>
      </c>
      <c r="S4" s="56">
        <f>F4/$F$31</f>
        <v>1.0735945884486156E-2</v>
      </c>
      <c r="T4" s="56">
        <f>G4/$G$31</f>
        <v>8.2127463614833172E-3</v>
      </c>
      <c r="U4" s="56">
        <f>H4/$H$31</f>
        <v>1.1952139880961972E-2</v>
      </c>
      <c r="V4" s="56">
        <f>I4/$I$31</f>
        <v>1.4682049797042252E-2</v>
      </c>
      <c r="W4" s="56">
        <f>J4/$J$31</f>
        <v>1.2672297670157298E-2</v>
      </c>
      <c r="X4" s="56">
        <f>K4/$K$31</f>
        <v>1.88870145449971E-2</v>
      </c>
      <c r="Y4" s="57">
        <f>L4/$L$31</f>
        <v>8.8021381275198846E-3</v>
      </c>
      <c r="Z4" s="64">
        <f>AVERAGE(O4:Y4)</f>
        <v>1.148285232381052E-2</v>
      </c>
      <c r="AB4" s="67"/>
      <c r="AC4" s="56">
        <f>+IF(B4=0,"",C4/B4-1)</f>
        <v>-0.15708812260536398</v>
      </c>
      <c r="AD4" s="56">
        <f t="shared" ref="AD4:AF19" si="0">+IF(C4=0,"",D4/C4-1)</f>
        <v>0.41025454545454543</v>
      </c>
      <c r="AE4" s="56">
        <f t="shared" si="0"/>
        <v>-0.21685317930998915</v>
      </c>
      <c r="AF4" s="56">
        <f t="shared" si="0"/>
        <v>0.30106677202686694</v>
      </c>
      <c r="AG4" s="56">
        <f t="shared" ref="AG4:AG67" si="1">+IF(F4=0,"",G4/F4-1)</f>
        <v>-0.22960319870432233</v>
      </c>
      <c r="AH4" s="56">
        <f t="shared" ref="AH4:AH67" si="2">+IF(G4=0,"",H4/G4-1)</f>
        <v>0.46201097132345703</v>
      </c>
      <c r="AI4" s="56">
        <f t="shared" ref="AI4:AI67" si="3">+IF(H4=0,"",I4/H4-1)</f>
        <v>0.36357508762469659</v>
      </c>
      <c r="AJ4" s="56">
        <f t="shared" ref="AJ4:AJ67" si="4">+IF(I4=0,"",J4/I4-1)</f>
        <v>-9.5666501894875577E-2</v>
      </c>
      <c r="AK4" s="56">
        <f t="shared" ref="AK4:AK67" si="5">+IF(J4=0,"",K4/J4-1)</f>
        <v>0.46898914073318276</v>
      </c>
      <c r="AL4" s="57">
        <f>+IF(K4=0,"",L4/K4-1)</f>
        <v>-0.47386634252827942</v>
      </c>
      <c r="AM4" s="64">
        <f>AVERAGE(AB4:AL4)</f>
        <v>8.3281917211991824E-2</v>
      </c>
      <c r="AO4" s="55"/>
      <c r="AP4" s="59">
        <f>IF(AC4="",,(((AC4+1)/($C$116+1))-1))</f>
        <v>-0.22490861848769095</v>
      </c>
      <c r="AQ4" s="56">
        <f t="shared" ref="AQ4:AQ35" si="6">IF(AD4="",,(((AD4+1)/($D$116+1))-1))</f>
        <v>0.3100367352109108</v>
      </c>
      <c r="AR4" s="56">
        <f t="shared" ref="AR4:AR35" si="7">IF(AE4="",,(((AE4+1)/($E$116+1))-1))</f>
        <v>-0.26801867399755974</v>
      </c>
      <c r="AS4" s="56">
        <f t="shared" ref="AS4:AS35" si="8">IF(AF4="",,(((AF4+1)/($F$116+1))-1))</f>
        <v>0.22177366140188459</v>
      </c>
      <c r="AT4" s="56">
        <f t="shared" ref="AT4:AT35" si="9">IF(AG4="",,(((AG4+1)/($G$116+1))-1))</f>
        <v>-0.26974891738426243</v>
      </c>
      <c r="AU4" s="56">
        <f t="shared" ref="AU4:AU35" si="10">IF(AH4="",,(((AH4+1)/($H$116+1))-1))</f>
        <v>0.39434909268444995</v>
      </c>
      <c r="AV4" s="56">
        <f t="shared" ref="AV4:AV35" si="11">IF(AI4="",,(((AI4+1)/($I$116+1))-1))</f>
        <v>0.30510632429622575</v>
      </c>
      <c r="AW4" s="56">
        <f t="shared" ref="AW4:AW35" si="12">IF(AJ4="",,(((AJ4+1)/($J$116+1))-1))</f>
        <v>-0.1443528260903354</v>
      </c>
      <c r="AX4" s="56">
        <f t="shared" ref="AX4:AX35" si="13">IF(AK4="",,(((AK4+1)/($K$116+1))-1))</f>
        <v>0.36434395907233474</v>
      </c>
      <c r="AY4" s="57">
        <f t="shared" ref="AY4:AY35" si="14">IF(AL4="",,(((AL4+1)/($L$116+1))-1))</f>
        <v>-0.48418268875321513</v>
      </c>
      <c r="AZ4" s="64">
        <f>AVERAGE(AO4:AY4)</f>
        <v>2.043980479527422E-2</v>
      </c>
    </row>
    <row r="5" spans="1:52">
      <c r="A5" s="509" t="s">
        <v>1</v>
      </c>
      <c r="B5" s="495">
        <v>4628</v>
      </c>
      <c r="C5" s="496">
        <v>6208</v>
      </c>
      <c r="D5" s="463">
        <v>45865</v>
      </c>
      <c r="E5" s="496">
        <v>33960</v>
      </c>
      <c r="F5" s="496">
        <v>4184</v>
      </c>
      <c r="G5" s="496">
        <v>10883</v>
      </c>
      <c r="H5" s="496">
        <v>92681</v>
      </c>
      <c r="I5" s="496">
        <v>20749</v>
      </c>
      <c r="J5" s="496">
        <v>34888</v>
      </c>
      <c r="K5" s="501"/>
      <c r="L5" s="497">
        <v>25718</v>
      </c>
      <c r="M5" s="463"/>
      <c r="O5" s="58">
        <f t="shared" ref="O5:O68" si="15">B5/$B$31</f>
        <v>1.6093187483895511E-3</v>
      </c>
      <c r="P5" s="59">
        <f t="shared" ref="P5:P68" si="16">C5/$C$31</f>
        <v>2.008080843368077E-3</v>
      </c>
      <c r="Q5" s="59">
        <f t="shared" ref="Q5:Q66" si="17">D5/$D$31</f>
        <v>1.3608185146086605E-2</v>
      </c>
      <c r="R5" s="59">
        <f t="shared" ref="R5:R68" si="18">E5/$E$31</f>
        <v>9.6385432743913892E-3</v>
      </c>
      <c r="S5" s="59">
        <f t="shared" ref="S5:S68" si="19">F5/$F$31</f>
        <v>1.1367344260727319E-3</v>
      </c>
      <c r="T5" s="59">
        <f t="shared" ref="T5:T68" si="20">G5/$G$31</f>
        <v>2.9359563332136433E-3</v>
      </c>
      <c r="U5" s="59">
        <f t="shared" ref="U5:U68" si="21">H5/$H$31</f>
        <v>2.4888475696671082E-2</v>
      </c>
      <c r="V5" s="59">
        <f t="shared" ref="V5:V68" si="22">I5/$I$31</f>
        <v>5.0195724376145938E-3</v>
      </c>
      <c r="W5" s="59">
        <f t="shared" ref="W5:W68" si="23">J5/$J$31</f>
        <v>8.0553735353918778E-3</v>
      </c>
      <c r="X5" s="59">
        <f t="shared" ref="X5:X68" si="24">K5/$K$31</f>
        <v>0</v>
      </c>
      <c r="Y5" s="60">
        <f t="shared" ref="Y5:Y68" si="25">L5/$L$31</f>
        <v>5.336603606015144E-3</v>
      </c>
      <c r="Z5" s="65">
        <f t="shared" ref="Z5:Z68" si="26">AVERAGE(O5:Y5)</f>
        <v>6.7488040042922451E-3</v>
      </c>
      <c r="AB5" s="68"/>
      <c r="AC5" s="59">
        <f t="shared" ref="AC5:AK68" si="27">+IF(B5=0,"",C5/B5-1)</f>
        <v>0.34140017286084712</v>
      </c>
      <c r="AD5" s="59">
        <f t="shared" si="0"/>
        <v>6.3880476804123711</v>
      </c>
      <c r="AE5" s="59">
        <f t="shared" si="0"/>
        <v>-0.2595661179548675</v>
      </c>
      <c r="AF5" s="59">
        <f t="shared" si="0"/>
        <v>-0.87679623085983516</v>
      </c>
      <c r="AG5" s="59">
        <f t="shared" si="1"/>
        <v>1.6010994263862335</v>
      </c>
      <c r="AH5" s="59">
        <f t="shared" si="2"/>
        <v>7.5161260681797302</v>
      </c>
      <c r="AI5" s="59">
        <f t="shared" si="3"/>
        <v>-0.77612455627366994</v>
      </c>
      <c r="AJ5" s="59">
        <f t="shared" si="4"/>
        <v>0.6814304303821872</v>
      </c>
      <c r="AK5" s="59">
        <f t="shared" si="5"/>
        <v>-1</v>
      </c>
      <c r="AL5" s="60" t="str">
        <f t="shared" ref="AL5:AL68" si="28">+IF(K5=0,"",L5/K5-1)</f>
        <v/>
      </c>
      <c r="AM5" s="65">
        <f t="shared" ref="AM5:AM68" si="29">AVERAGE(AB5:AL5)</f>
        <v>1.5128463192369996</v>
      </c>
      <c r="AO5" s="58"/>
      <c r="AP5" s="59">
        <f t="shared" ref="AP5:AP35" si="30">IF(AC5="",,(((AC5+1)/($C$116+1))-1))</f>
        <v>0.23347142332031923</v>
      </c>
      <c r="AQ5" s="59">
        <f t="shared" si="6"/>
        <v>5.8630261778099131</v>
      </c>
      <c r="AR5" s="59">
        <f t="shared" si="7"/>
        <v>-0.30794103930728811</v>
      </c>
      <c r="AS5" s="59">
        <f t="shared" si="8"/>
        <v>-0.88430484633283424</v>
      </c>
      <c r="AT5" s="59">
        <f t="shared" si="9"/>
        <v>1.4655549827246901</v>
      </c>
      <c r="AU5" s="59">
        <f t="shared" si="10"/>
        <v>7.1219996903331584</v>
      </c>
      <c r="AV5" s="59">
        <f t="shared" si="11"/>
        <v>-0.78572411588214963</v>
      </c>
      <c r="AW5" s="59">
        <f t="shared" si="12"/>
        <v>0.5909077778240015</v>
      </c>
      <c r="AX5" s="59">
        <f t="shared" si="13"/>
        <v>-1</v>
      </c>
      <c r="AY5" s="60">
        <f t="shared" si="14"/>
        <v>0</v>
      </c>
      <c r="AZ5" s="65">
        <f t="shared" ref="AZ5:AZ68" si="31">AVERAGE(AO5:AY5)</f>
        <v>1.2296990050489809</v>
      </c>
    </row>
    <row r="6" spans="1:52" ht="25.5">
      <c r="A6" s="509" t="s">
        <v>2</v>
      </c>
      <c r="B6" s="495">
        <v>37422</v>
      </c>
      <c r="C6" s="496">
        <v>40863</v>
      </c>
      <c r="D6" s="463">
        <v>0</v>
      </c>
      <c r="E6" s="501"/>
      <c r="F6" s="496">
        <v>25695</v>
      </c>
      <c r="G6" s="496">
        <v>27384</v>
      </c>
      <c r="H6" s="496">
        <v>25923</v>
      </c>
      <c r="I6" s="496">
        <v>103234</v>
      </c>
      <c r="J6" s="496">
        <v>24298</v>
      </c>
      <c r="K6" s="496">
        <v>157291</v>
      </c>
      <c r="L6" s="502"/>
      <c r="M6" s="463"/>
      <c r="O6" s="58">
        <f t="shared" si="15"/>
        <v>1.3012948617595891E-2</v>
      </c>
      <c r="P6" s="59">
        <f t="shared" si="16"/>
        <v>1.3217816930178757E-2</v>
      </c>
      <c r="Q6" s="59">
        <f t="shared" si="17"/>
        <v>0</v>
      </c>
      <c r="R6" s="59">
        <f t="shared" si="18"/>
        <v>0</v>
      </c>
      <c r="S6" s="59">
        <f t="shared" si="19"/>
        <v>6.9809730109796483E-3</v>
      </c>
      <c r="T6" s="59">
        <f t="shared" si="20"/>
        <v>7.3875060395775438E-3</v>
      </c>
      <c r="U6" s="59">
        <f t="shared" si="21"/>
        <v>6.9613400317735507E-3</v>
      </c>
      <c r="V6" s="59">
        <f t="shared" si="22"/>
        <v>2.4974241699585762E-2</v>
      </c>
      <c r="W6" s="59">
        <f t="shared" si="23"/>
        <v>5.6102231759617011E-3</v>
      </c>
      <c r="X6" s="59">
        <f t="shared" si="24"/>
        <v>3.6847060488156613E-2</v>
      </c>
      <c r="Y6" s="60">
        <f t="shared" si="25"/>
        <v>0</v>
      </c>
      <c r="Z6" s="65">
        <f t="shared" si="26"/>
        <v>1.0453828181255407E-2</v>
      </c>
      <c r="AB6" s="68"/>
      <c r="AC6" s="59">
        <f t="shared" si="27"/>
        <v>9.1951258617925191E-2</v>
      </c>
      <c r="AD6" s="59">
        <f t="shared" si="0"/>
        <v>-1</v>
      </c>
      <c r="AE6" s="59" t="str">
        <f t="shared" si="0"/>
        <v/>
      </c>
      <c r="AF6" s="59" t="str">
        <f t="shared" si="0"/>
        <v/>
      </c>
      <c r="AG6" s="59">
        <f t="shared" si="1"/>
        <v>6.5732632807939284E-2</v>
      </c>
      <c r="AH6" s="59">
        <f t="shared" si="2"/>
        <v>-5.3352322524101714E-2</v>
      </c>
      <c r="AI6" s="59">
        <f t="shared" si="3"/>
        <v>2.9823322917872161</v>
      </c>
      <c r="AJ6" s="59">
        <f t="shared" si="4"/>
        <v>-0.76463180735029157</v>
      </c>
      <c r="AK6" s="59">
        <f t="shared" si="5"/>
        <v>5.4734134496666389</v>
      </c>
      <c r="AL6" s="60">
        <f t="shared" si="28"/>
        <v>-1</v>
      </c>
      <c r="AM6" s="65">
        <f t="shared" si="29"/>
        <v>0.72443068787566578</v>
      </c>
      <c r="AO6" s="58"/>
      <c r="AP6" s="59">
        <f t="shared" si="30"/>
        <v>4.0931113728048807E-3</v>
      </c>
      <c r="AQ6" s="59">
        <f t="shared" si="6"/>
        <v>-1</v>
      </c>
      <c r="AR6" s="59">
        <f t="shared" si="7"/>
        <v>0</v>
      </c>
      <c r="AS6" s="59">
        <f t="shared" si="8"/>
        <v>0</v>
      </c>
      <c r="AT6" s="59">
        <f t="shared" si="9"/>
        <v>1.019683308397501E-2</v>
      </c>
      <c r="AU6" s="59">
        <f t="shared" si="10"/>
        <v>-9.7163184086440313E-2</v>
      </c>
      <c r="AV6" s="59">
        <f t="shared" si="11"/>
        <v>2.8115737861669374</v>
      </c>
      <c r="AW6" s="59">
        <f t="shared" si="12"/>
        <v>-0.77730325229472186</v>
      </c>
      <c r="AX6" s="59">
        <f t="shared" si="13"/>
        <v>5.0122721739264779</v>
      </c>
      <c r="AY6" s="60">
        <f t="shared" si="14"/>
        <v>-1</v>
      </c>
      <c r="AZ6" s="65">
        <f t="shared" si="31"/>
        <v>0.49636694681690335</v>
      </c>
    </row>
    <row r="7" spans="1:52" ht="25.5">
      <c r="A7" s="509" t="s">
        <v>3</v>
      </c>
      <c r="B7" s="495">
        <v>74675</v>
      </c>
      <c r="C7" s="496">
        <v>74571</v>
      </c>
      <c r="D7" s="463">
        <v>84647</v>
      </c>
      <c r="E7" s="496">
        <v>64332</v>
      </c>
      <c r="F7" s="496">
        <v>69395</v>
      </c>
      <c r="G7" s="496">
        <v>68710</v>
      </c>
      <c r="H7" s="496">
        <v>163112</v>
      </c>
      <c r="I7" s="496">
        <v>184673</v>
      </c>
      <c r="J7" s="496">
        <v>114070</v>
      </c>
      <c r="K7" s="496">
        <v>237915</v>
      </c>
      <c r="L7" s="497">
        <v>68137</v>
      </c>
      <c r="M7" s="463"/>
      <c r="O7" s="58">
        <f t="shared" si="15"/>
        <v>2.5967129977525871E-2</v>
      </c>
      <c r="P7" s="59">
        <f t="shared" si="16"/>
        <v>2.412123011771921E-2</v>
      </c>
      <c r="Q7" s="59">
        <f t="shared" si="17"/>
        <v>2.5114838069569233E-2</v>
      </c>
      <c r="R7" s="59">
        <f t="shared" si="18"/>
        <v>1.825873869046369E-2</v>
      </c>
      <c r="S7" s="59">
        <f t="shared" si="19"/>
        <v>1.8853653321538537E-2</v>
      </c>
      <c r="T7" s="59">
        <f t="shared" si="20"/>
        <v>1.8536208734274504E-2</v>
      </c>
      <c r="U7" s="59">
        <f t="shared" si="21"/>
        <v>4.3801955609406605E-2</v>
      </c>
      <c r="V7" s="59">
        <f t="shared" si="22"/>
        <v>4.467586393424261E-2</v>
      </c>
      <c r="W7" s="59">
        <f t="shared" si="23"/>
        <v>2.6337894381510876E-2</v>
      </c>
      <c r="X7" s="59">
        <f t="shared" si="24"/>
        <v>5.573407503315371E-2</v>
      </c>
      <c r="Y7" s="60">
        <f t="shared" si="25"/>
        <v>1.4138741733535028E-2</v>
      </c>
      <c r="Z7" s="65">
        <f t="shared" si="26"/>
        <v>2.8685484509358171E-2</v>
      </c>
      <c r="AB7" s="68"/>
      <c r="AC7" s="59">
        <f>+IF(B7=0,"",C7/B7-1)</f>
        <v>-1.3927017073986914E-3</v>
      </c>
      <c r="AD7" s="59">
        <f t="shared" si="0"/>
        <v>0.13511955049550095</v>
      </c>
      <c r="AE7" s="59">
        <f t="shared" si="0"/>
        <v>-0.23999669214502584</v>
      </c>
      <c r="AF7" s="59">
        <f t="shared" si="0"/>
        <v>7.8701112976434784E-2</v>
      </c>
      <c r="AG7" s="59">
        <f t="shared" si="1"/>
        <v>-9.871028172058538E-3</v>
      </c>
      <c r="AH7" s="59">
        <f t="shared" si="2"/>
        <v>1.3739193712705573</v>
      </c>
      <c r="AI7" s="59">
        <f t="shared" si="3"/>
        <v>0.13218524694688316</v>
      </c>
      <c r="AJ7" s="59">
        <f t="shared" si="4"/>
        <v>-0.38231360296307526</v>
      </c>
      <c r="AK7" s="59">
        <f t="shared" si="5"/>
        <v>1.0856929955290613</v>
      </c>
      <c r="AL7" s="60">
        <f t="shared" si="28"/>
        <v>-0.71360780110543676</v>
      </c>
      <c r="AM7" s="65">
        <f t="shared" si="29"/>
        <v>0.14584364511254422</v>
      </c>
      <c r="AO7" s="58"/>
      <c r="AP7" s="59">
        <f t="shared" si="30"/>
        <v>-8.1740415363125152E-2</v>
      </c>
      <c r="AQ7" s="59">
        <f t="shared" si="6"/>
        <v>5.4453832322806317E-2</v>
      </c>
      <c r="AR7" s="59">
        <f t="shared" si="7"/>
        <v>-0.28965014687823709</v>
      </c>
      <c r="AS7" s="59">
        <f t="shared" si="8"/>
        <v>1.2960008429368841E-2</v>
      </c>
      <c r="AT7" s="59">
        <f t="shared" si="9"/>
        <v>-6.1467087622215866E-2</v>
      </c>
      <c r="AU7" s="59">
        <f t="shared" si="10"/>
        <v>1.2640543650919138</v>
      </c>
      <c r="AV7" s="59">
        <f t="shared" si="11"/>
        <v>8.3638253203372148E-2</v>
      </c>
      <c r="AW7" s="59">
        <f t="shared" si="12"/>
        <v>-0.41556779540455602</v>
      </c>
      <c r="AX7" s="59">
        <f t="shared" si="13"/>
        <v>0.93711618420085574</v>
      </c>
      <c r="AY7" s="60">
        <f t="shared" si="14"/>
        <v>-0.71922333441709485</v>
      </c>
      <c r="AZ7" s="65">
        <f t="shared" si="31"/>
        <v>7.8457386356308792E-2</v>
      </c>
    </row>
    <row r="8" spans="1:52" ht="25.5">
      <c r="A8" s="509" t="s">
        <v>4</v>
      </c>
      <c r="B8" s="495">
        <v>44832</v>
      </c>
      <c r="C8" s="496">
        <v>28223</v>
      </c>
      <c r="D8" s="463">
        <v>55560</v>
      </c>
      <c r="E8" s="496">
        <v>34792</v>
      </c>
      <c r="F8" s="496">
        <v>98061</v>
      </c>
      <c r="G8" s="496">
        <v>30251</v>
      </c>
      <c r="H8" s="496">
        <v>36607</v>
      </c>
      <c r="I8" s="496">
        <v>43200</v>
      </c>
      <c r="J8" s="496">
        <v>32400</v>
      </c>
      <c r="K8" s="496">
        <v>36000</v>
      </c>
      <c r="L8" s="497">
        <v>42000</v>
      </c>
      <c r="M8" s="463"/>
      <c r="O8" s="58">
        <f t="shared" si="15"/>
        <v>1.558966683833197E-2</v>
      </c>
      <c r="P8" s="59">
        <f t="shared" si="16"/>
        <v>9.1291987181664359E-3</v>
      </c>
      <c r="Q8" s="59">
        <f t="shared" si="17"/>
        <v>1.6484700026525058E-2</v>
      </c>
      <c r="R8" s="59">
        <f t="shared" si="18"/>
        <v>9.8746819082045113E-3</v>
      </c>
      <c r="S8" s="59">
        <f t="shared" si="19"/>
        <v>2.6641805582007211E-2</v>
      </c>
      <c r="T8" s="59">
        <f t="shared" si="20"/>
        <v>8.160949649549382E-3</v>
      </c>
      <c r="U8" s="59">
        <f t="shared" si="21"/>
        <v>9.8304121646080461E-3</v>
      </c>
      <c r="V8" s="59">
        <f t="shared" si="22"/>
        <v>1.0450890611834327E-2</v>
      </c>
      <c r="W8" s="59">
        <f t="shared" si="23"/>
        <v>7.480913280976176E-3</v>
      </c>
      <c r="X8" s="59">
        <f t="shared" si="24"/>
        <v>8.4333762108044202E-3</v>
      </c>
      <c r="Y8" s="60">
        <f t="shared" si="25"/>
        <v>8.715193695179875E-3</v>
      </c>
      <c r="Z8" s="65">
        <f t="shared" si="26"/>
        <v>1.1890162607835219E-2</v>
      </c>
      <c r="AB8" s="68"/>
      <c r="AC8" s="59">
        <f t="shared" si="27"/>
        <v>-0.37047198429693073</v>
      </c>
      <c r="AD8" s="59">
        <f t="shared" si="0"/>
        <v>0.9686071643694858</v>
      </c>
      <c r="AE8" s="59">
        <f t="shared" si="0"/>
        <v>-0.37379409647228223</v>
      </c>
      <c r="AF8" s="59">
        <f t="shared" si="0"/>
        <v>1.8184927569556222</v>
      </c>
      <c r="AG8" s="59">
        <f t="shared" si="1"/>
        <v>-0.69150834684533091</v>
      </c>
      <c r="AH8" s="59">
        <f t="shared" si="2"/>
        <v>0.21010875673531459</v>
      </c>
      <c r="AI8" s="59">
        <f t="shared" si="3"/>
        <v>0.18010216625235609</v>
      </c>
      <c r="AJ8" s="59">
        <f t="shared" si="4"/>
        <v>-0.25</v>
      </c>
      <c r="AK8" s="59">
        <f t="shared" si="5"/>
        <v>0.11111111111111116</v>
      </c>
      <c r="AL8" s="60">
        <f t="shared" si="28"/>
        <v>0.16666666666666674</v>
      </c>
      <c r="AM8" s="65">
        <f t="shared" si="29"/>
        <v>0.17693141944760127</v>
      </c>
      <c r="AO8" s="58"/>
      <c r="AP8" s="59">
        <f t="shared" si="30"/>
        <v>-0.4211236637213156</v>
      </c>
      <c r="AQ8" s="59">
        <f t="shared" si="6"/>
        <v>0.82871078901020501</v>
      </c>
      <c r="AR8" s="59">
        <f t="shared" si="7"/>
        <v>-0.41470613746357821</v>
      </c>
      <c r="AS8" s="59">
        <f t="shared" si="8"/>
        <v>1.6467205906241169</v>
      </c>
      <c r="AT8" s="59">
        <f t="shared" si="9"/>
        <v>-0.7075839835845128</v>
      </c>
      <c r="AU8" s="59">
        <f t="shared" si="10"/>
        <v>0.15410491446311481</v>
      </c>
      <c r="AV8" s="59">
        <f t="shared" si="11"/>
        <v>0.12950054197201011</v>
      </c>
      <c r="AW8" s="59">
        <f t="shared" si="12"/>
        <v>-0.29037751915980692</v>
      </c>
      <c r="AX8" s="59">
        <f t="shared" si="13"/>
        <v>3.1959794846392775E-2</v>
      </c>
      <c r="AY8" s="60">
        <f t="shared" si="14"/>
        <v>0.14379084967320277</v>
      </c>
      <c r="AZ8" s="65">
        <f t="shared" si="31"/>
        <v>0.11009961766598289</v>
      </c>
    </row>
    <row r="9" spans="1:52">
      <c r="A9" s="509" t="s">
        <v>5</v>
      </c>
      <c r="B9" s="495">
        <v>1622777</v>
      </c>
      <c r="C9" s="496">
        <v>1760414</v>
      </c>
      <c r="D9" s="463">
        <v>1703943</v>
      </c>
      <c r="E9" s="496">
        <v>1701466</v>
      </c>
      <c r="F9" s="496">
        <v>1731962</v>
      </c>
      <c r="G9" s="496">
        <v>2836068</v>
      </c>
      <c r="H9" s="496">
        <v>1644105</v>
      </c>
      <c r="I9" s="496">
        <v>1537440</v>
      </c>
      <c r="J9" s="496">
        <v>1778028</v>
      </c>
      <c r="K9" s="496">
        <v>1325060</v>
      </c>
      <c r="L9" s="497">
        <v>1440067</v>
      </c>
      <c r="M9" s="463"/>
      <c r="O9" s="58">
        <f t="shared" si="15"/>
        <v>0.56429676978291932</v>
      </c>
      <c r="P9" s="59">
        <f t="shared" si="16"/>
        <v>0.56943518521214076</v>
      </c>
      <c r="Q9" s="59">
        <f t="shared" si="17"/>
        <v>0.50556136100246918</v>
      </c>
      <c r="R9" s="59">
        <f t="shared" si="18"/>
        <v>0.48291088548014194</v>
      </c>
      <c r="S9" s="59">
        <f t="shared" si="19"/>
        <v>0.4705499115797756</v>
      </c>
      <c r="T9" s="59">
        <f t="shared" si="20"/>
        <v>0.76509894385964816</v>
      </c>
      <c r="U9" s="59">
        <f t="shared" si="21"/>
        <v>0.44150653677965718</v>
      </c>
      <c r="V9" s="59">
        <f t="shared" si="22"/>
        <v>0.37193558477450389</v>
      </c>
      <c r="W9" s="59">
        <f t="shared" si="23"/>
        <v>0.41053312589961444</v>
      </c>
      <c r="X9" s="59">
        <f t="shared" si="24"/>
        <v>0.31040915227468069</v>
      </c>
      <c r="Y9" s="60">
        <f t="shared" si="25"/>
        <v>0.29882054378658568</v>
      </c>
      <c r="Z9" s="65">
        <f t="shared" si="26"/>
        <v>0.47191436367564882</v>
      </c>
      <c r="AB9" s="68"/>
      <c r="AC9" s="59">
        <f t="shared" si="27"/>
        <v>8.4815720212943591E-2</v>
      </c>
      <c r="AD9" s="59">
        <f t="shared" si="0"/>
        <v>-3.2078249775336909E-2</v>
      </c>
      <c r="AE9" s="59">
        <f t="shared" si="0"/>
        <v>-1.4536871245106608E-3</v>
      </c>
      <c r="AF9" s="59">
        <f t="shared" si="0"/>
        <v>1.7923367260938461E-2</v>
      </c>
      <c r="AG9" s="59">
        <f t="shared" si="1"/>
        <v>0.63748858231300676</v>
      </c>
      <c r="AH9" s="59">
        <f t="shared" si="2"/>
        <v>-0.42028717223987577</v>
      </c>
      <c r="AI9" s="59">
        <f t="shared" si="3"/>
        <v>-6.4877243241763805E-2</v>
      </c>
      <c r="AJ9" s="59">
        <f t="shared" si="4"/>
        <v>0.1564861067748986</v>
      </c>
      <c r="AK9" s="59">
        <f t="shared" si="5"/>
        <v>-0.25475864272103699</v>
      </c>
      <c r="AL9" s="60">
        <f t="shared" si="28"/>
        <v>8.6793805563521564E-2</v>
      </c>
      <c r="AM9" s="65">
        <f t="shared" si="29"/>
        <v>2.1005258702278484E-2</v>
      </c>
      <c r="AO9" s="58"/>
      <c r="AP9" s="59">
        <f t="shared" si="30"/>
        <v>-2.468303252465609E-3</v>
      </c>
      <c r="AQ9" s="59">
        <f t="shared" si="6"/>
        <v>-0.10086228497476724</v>
      </c>
      <c r="AR9" s="59">
        <f t="shared" si="7"/>
        <v>-6.6691921791298903E-2</v>
      </c>
      <c r="AS9" s="59">
        <f t="shared" si="8"/>
        <v>-4.4113656436342796E-2</v>
      </c>
      <c r="AT9" s="59">
        <f t="shared" si="9"/>
        <v>0.55215832671408505</v>
      </c>
      <c r="AU9" s="59">
        <f t="shared" si="10"/>
        <v>-0.44711628622516542</v>
      </c>
      <c r="AV9" s="59">
        <f t="shared" si="11"/>
        <v>-0.10497439054533286</v>
      </c>
      <c r="AW9" s="59">
        <f t="shared" si="12"/>
        <v>9.4224720195760003E-2</v>
      </c>
      <c r="AX9" s="59">
        <f t="shared" si="13"/>
        <v>-0.30784679364821865</v>
      </c>
      <c r="AY9" s="60">
        <f t="shared" si="14"/>
        <v>6.5484123101491765E-2</v>
      </c>
      <c r="AZ9" s="65">
        <f t="shared" si="31"/>
        <v>-3.6220646686225468E-2</v>
      </c>
    </row>
    <row r="10" spans="1:52" ht="38.25">
      <c r="A10" s="509" t="s">
        <v>6</v>
      </c>
      <c r="B10" s="503"/>
      <c r="C10" s="501"/>
      <c r="D10" s="463">
        <v>0</v>
      </c>
      <c r="E10" s="501"/>
      <c r="F10" s="501"/>
      <c r="G10" s="501"/>
      <c r="H10" s="496">
        <v>17720</v>
      </c>
      <c r="I10" s="496">
        <v>17720</v>
      </c>
      <c r="J10" s="496">
        <v>15329</v>
      </c>
      <c r="K10" s="496">
        <v>12700</v>
      </c>
      <c r="L10" s="497">
        <v>12342</v>
      </c>
      <c r="M10" s="463"/>
      <c r="O10" s="58">
        <f t="shared" si="15"/>
        <v>0</v>
      </c>
      <c r="P10" s="59">
        <f t="shared" si="16"/>
        <v>0</v>
      </c>
      <c r="Q10" s="59">
        <f t="shared" si="17"/>
        <v>0</v>
      </c>
      <c r="R10" s="59">
        <f t="shared" si="18"/>
        <v>0</v>
      </c>
      <c r="S10" s="59">
        <f t="shared" si="19"/>
        <v>0</v>
      </c>
      <c r="T10" s="59">
        <f t="shared" si="20"/>
        <v>0</v>
      </c>
      <c r="U10" s="59">
        <f t="shared" si="21"/>
        <v>4.7585134962399153E-3</v>
      </c>
      <c r="V10" s="59">
        <f t="shared" si="22"/>
        <v>4.2868005009653772E-3</v>
      </c>
      <c r="W10" s="59">
        <f t="shared" si="23"/>
        <v>3.5393493729655493E-3</v>
      </c>
      <c r="X10" s="59">
        <f t="shared" si="24"/>
        <v>2.9751077188115592E-3</v>
      </c>
      <c r="Y10" s="60">
        <f t="shared" si="25"/>
        <v>2.5610219187121434E-3</v>
      </c>
      <c r="Z10" s="65">
        <f t="shared" si="26"/>
        <v>1.6473448188813224E-3</v>
      </c>
      <c r="AB10" s="68"/>
      <c r="AC10" s="59" t="str">
        <f t="shared" si="27"/>
        <v/>
      </c>
      <c r="AD10" s="59" t="str">
        <f t="shared" si="0"/>
        <v/>
      </c>
      <c r="AE10" s="59" t="str">
        <f t="shared" si="0"/>
        <v/>
      </c>
      <c r="AF10" s="59" t="str">
        <f t="shared" si="0"/>
        <v/>
      </c>
      <c r="AG10" s="59" t="str">
        <f t="shared" si="1"/>
        <v/>
      </c>
      <c r="AH10" s="59" t="str">
        <f t="shared" si="2"/>
        <v/>
      </c>
      <c r="AI10" s="59">
        <f t="shared" si="3"/>
        <v>0</v>
      </c>
      <c r="AJ10" s="59">
        <f t="shared" si="4"/>
        <v>-0.13493227990970658</v>
      </c>
      <c r="AK10" s="59">
        <f t="shared" si="5"/>
        <v>-0.17150499054080504</v>
      </c>
      <c r="AL10" s="60">
        <f t="shared" si="28"/>
        <v>-2.8188976377952701E-2</v>
      </c>
      <c r="AM10" s="65">
        <f t="shared" si="29"/>
        <v>-8.3656561707116078E-2</v>
      </c>
      <c r="AO10" s="58"/>
      <c r="AP10" s="59">
        <f t="shared" si="30"/>
        <v>0</v>
      </c>
      <c r="AQ10" s="59">
        <f t="shared" si="6"/>
        <v>0</v>
      </c>
      <c r="AR10" s="59">
        <f t="shared" si="7"/>
        <v>0</v>
      </c>
      <c r="AS10" s="59">
        <f t="shared" si="8"/>
        <v>0</v>
      </c>
      <c r="AT10" s="59">
        <f t="shared" si="9"/>
        <v>0</v>
      </c>
      <c r="AU10" s="59">
        <f t="shared" si="10"/>
        <v>0</v>
      </c>
      <c r="AV10" s="59">
        <f t="shared" si="11"/>
        <v>-4.2879019908116378E-2</v>
      </c>
      <c r="AW10" s="59">
        <f t="shared" si="12"/>
        <v>-0.18150466449967506</v>
      </c>
      <c r="AX10" s="59">
        <f t="shared" si="13"/>
        <v>-0.23052381400650601</v>
      </c>
      <c r="AY10" s="60">
        <f t="shared" si="14"/>
        <v>-4.7244094488188892E-2</v>
      </c>
      <c r="AZ10" s="65">
        <f t="shared" si="31"/>
        <v>-5.0215159290248633E-2</v>
      </c>
    </row>
    <row r="11" spans="1:52" ht="51">
      <c r="A11" s="509" t="s">
        <v>7</v>
      </c>
      <c r="B11" s="495">
        <v>4206</v>
      </c>
      <c r="C11" s="496">
        <v>6097</v>
      </c>
      <c r="D11" s="463">
        <v>13852</v>
      </c>
      <c r="E11" s="496">
        <v>34649</v>
      </c>
      <c r="F11" s="496">
        <v>56285</v>
      </c>
      <c r="G11" s="496">
        <v>81086</v>
      </c>
      <c r="H11" s="501"/>
      <c r="I11" s="496">
        <v>22617</v>
      </c>
      <c r="J11" s="496">
        <v>17396</v>
      </c>
      <c r="K11" s="501"/>
      <c r="L11" s="502"/>
      <c r="M11" s="463"/>
      <c r="O11" s="58">
        <f t="shared" si="15"/>
        <v>1.4625744718510052E-3</v>
      </c>
      <c r="P11" s="59">
        <f t="shared" si="16"/>
        <v>1.97217604736069E-3</v>
      </c>
      <c r="Q11" s="59">
        <f t="shared" si="17"/>
        <v>4.1099003737837493E-3</v>
      </c>
      <c r="R11" s="59">
        <f t="shared" si="18"/>
        <v>9.8340955805178813E-3</v>
      </c>
      <c r="S11" s="59">
        <f t="shared" si="19"/>
        <v>1.5291849228370871E-2</v>
      </c>
      <c r="T11" s="59">
        <f t="shared" si="20"/>
        <v>2.187493845768276E-2</v>
      </c>
      <c r="U11" s="59">
        <f t="shared" si="21"/>
        <v>0</v>
      </c>
      <c r="V11" s="59">
        <f t="shared" si="22"/>
        <v>5.4714766890707634E-3</v>
      </c>
      <c r="W11" s="59">
        <f t="shared" si="23"/>
        <v>4.0166039332056036E-3</v>
      </c>
      <c r="X11" s="59">
        <f t="shared" si="24"/>
        <v>0</v>
      </c>
      <c r="Y11" s="60">
        <f t="shared" si="25"/>
        <v>0</v>
      </c>
      <c r="Z11" s="65">
        <f t="shared" si="26"/>
        <v>5.8212377074403025E-3</v>
      </c>
      <c r="AB11" s="68"/>
      <c r="AC11" s="59">
        <f t="shared" si="27"/>
        <v>0.44959581550166439</v>
      </c>
      <c r="AD11" s="59">
        <f t="shared" si="0"/>
        <v>1.2719370182056751</v>
      </c>
      <c r="AE11" s="59">
        <f t="shared" si="0"/>
        <v>1.5013716430840311</v>
      </c>
      <c r="AF11" s="59">
        <f t="shared" si="0"/>
        <v>0.62443360558746286</v>
      </c>
      <c r="AG11" s="59">
        <f t="shared" si="1"/>
        <v>0.44063249533623527</v>
      </c>
      <c r="AH11" s="59">
        <f t="shared" si="2"/>
        <v>-1</v>
      </c>
      <c r="AI11" s="59" t="str">
        <f t="shared" si="3"/>
        <v/>
      </c>
      <c r="AJ11" s="59">
        <f t="shared" si="4"/>
        <v>-0.23084405535659014</v>
      </c>
      <c r="AK11" s="59">
        <f t="shared" si="5"/>
        <v>-1</v>
      </c>
      <c r="AL11" s="60" t="str">
        <f t="shared" si="28"/>
        <v/>
      </c>
      <c r="AM11" s="65">
        <f t="shared" si="29"/>
        <v>0.25714081529480975</v>
      </c>
      <c r="AO11" s="58"/>
      <c r="AP11" s="59">
        <f t="shared" si="30"/>
        <v>0.33296166942681804</v>
      </c>
      <c r="AQ11" s="59">
        <f t="shared" si="6"/>
        <v>1.110484921695936</v>
      </c>
      <c r="AR11" s="59">
        <f t="shared" si="7"/>
        <v>1.3379490074624085</v>
      </c>
      <c r="AS11" s="59">
        <f t="shared" si="8"/>
        <v>0.5254330036505428</v>
      </c>
      <c r="AT11" s="59">
        <f t="shared" si="9"/>
        <v>0.36556049765701393</v>
      </c>
      <c r="AU11" s="59">
        <f t="shared" si="10"/>
        <v>-1</v>
      </c>
      <c r="AV11" s="59">
        <f t="shared" si="11"/>
        <v>0</v>
      </c>
      <c r="AW11" s="59">
        <f t="shared" si="12"/>
        <v>-0.27225286721221509</v>
      </c>
      <c r="AX11" s="59">
        <f t="shared" si="13"/>
        <v>-1</v>
      </c>
      <c r="AY11" s="60">
        <f t="shared" si="14"/>
        <v>0</v>
      </c>
      <c r="AZ11" s="65">
        <f t="shared" si="31"/>
        <v>0.14001362326805039</v>
      </c>
    </row>
    <row r="12" spans="1:52" ht="25.5">
      <c r="A12" s="509" t="s">
        <v>8</v>
      </c>
      <c r="B12" s="503">
        <v>120</v>
      </c>
      <c r="C12" s="501"/>
      <c r="D12" s="463">
        <v>0</v>
      </c>
      <c r="E12" s="501">
        <v>52</v>
      </c>
      <c r="F12" s="501"/>
      <c r="G12" s="501">
        <v>269</v>
      </c>
      <c r="H12" s="496">
        <v>6667</v>
      </c>
      <c r="I12" s="501">
        <v>453</v>
      </c>
      <c r="J12" s="501">
        <v>66</v>
      </c>
      <c r="K12" s="496">
        <v>2519</v>
      </c>
      <c r="L12" s="497">
        <v>2148</v>
      </c>
      <c r="M12" s="463"/>
      <c r="O12" s="58">
        <f t="shared" si="15"/>
        <v>4.172823029532112E-5</v>
      </c>
      <c r="P12" s="59">
        <f t="shared" si="16"/>
        <v>0</v>
      </c>
      <c r="Q12" s="59">
        <f t="shared" si="17"/>
        <v>0</v>
      </c>
      <c r="R12" s="59">
        <f t="shared" si="18"/>
        <v>1.475866461332015E-5</v>
      </c>
      <c r="S12" s="59">
        <f t="shared" si="19"/>
        <v>0</v>
      </c>
      <c r="T12" s="59">
        <f t="shared" si="20"/>
        <v>7.2569351615774151E-5</v>
      </c>
      <c r="U12" s="59">
        <f t="shared" si="21"/>
        <v>1.7903504220898145E-3</v>
      </c>
      <c r="V12" s="59">
        <f t="shared" si="22"/>
        <v>1.0958920016576273E-4</v>
      </c>
      <c r="W12" s="59">
        <f t="shared" si="23"/>
        <v>1.523889742421073E-5</v>
      </c>
      <c r="X12" s="59">
        <f t="shared" si="24"/>
        <v>5.9010207430600927E-4</v>
      </c>
      <c r="Y12" s="60">
        <f t="shared" si="25"/>
        <v>4.4571990612491362E-4</v>
      </c>
      <c r="Z12" s="65">
        <f t="shared" si="26"/>
        <v>2.8000515878501151E-4</v>
      </c>
      <c r="AB12" s="68"/>
      <c r="AC12" s="59">
        <f t="shared" si="27"/>
        <v>-1</v>
      </c>
      <c r="AD12" s="59" t="str">
        <f t="shared" si="0"/>
        <v/>
      </c>
      <c r="AE12" s="59" t="str">
        <f t="shared" si="0"/>
        <v/>
      </c>
      <c r="AF12" s="59">
        <f t="shared" si="0"/>
        <v>-1</v>
      </c>
      <c r="AG12" s="59" t="str">
        <f t="shared" si="1"/>
        <v/>
      </c>
      <c r="AH12" s="59">
        <f t="shared" si="2"/>
        <v>23.78438661710037</v>
      </c>
      <c r="AI12" s="59">
        <f t="shared" si="3"/>
        <v>-0.93205339733013348</v>
      </c>
      <c r="AJ12" s="59">
        <f t="shared" si="4"/>
        <v>-0.85430463576158944</v>
      </c>
      <c r="AK12" s="59">
        <f t="shared" si="5"/>
        <v>37.166666666666664</v>
      </c>
      <c r="AL12" s="60">
        <f t="shared" si="28"/>
        <v>-0.14728066693132191</v>
      </c>
      <c r="AM12" s="65">
        <f t="shared" si="29"/>
        <v>8.145344940534855</v>
      </c>
      <c r="AO12" s="58"/>
      <c r="AP12" s="59">
        <f t="shared" si="30"/>
        <v>-1</v>
      </c>
      <c r="AQ12" s="59">
        <f t="shared" si="6"/>
        <v>0</v>
      </c>
      <c r="AR12" s="59">
        <f t="shared" si="7"/>
        <v>0</v>
      </c>
      <c r="AS12" s="59">
        <f t="shared" si="8"/>
        <v>-1</v>
      </c>
      <c r="AT12" s="59">
        <f t="shared" si="9"/>
        <v>0</v>
      </c>
      <c r="AU12" s="59">
        <f t="shared" si="10"/>
        <v>22.637365019916018</v>
      </c>
      <c r="AV12" s="59">
        <f t="shared" si="11"/>
        <v>-0.93496688105870351</v>
      </c>
      <c r="AW12" s="59">
        <f t="shared" si="12"/>
        <v>-0.86214839224296469</v>
      </c>
      <c r="AX12" s="59">
        <f t="shared" si="13"/>
        <v>34.447818952973591</v>
      </c>
      <c r="AY12" s="60">
        <f t="shared" si="14"/>
        <v>-0.16400065385423723</v>
      </c>
      <c r="AZ12" s="65">
        <f t="shared" si="31"/>
        <v>5.3124068045733699</v>
      </c>
    </row>
    <row r="13" spans="1:52">
      <c r="A13" s="509" t="s">
        <v>9</v>
      </c>
      <c r="B13" s="503"/>
      <c r="C13" s="501"/>
      <c r="D13" s="463">
        <v>0</v>
      </c>
      <c r="E13" s="501"/>
      <c r="F13" s="501"/>
      <c r="G13" s="501"/>
      <c r="H13" s="501"/>
      <c r="I13" s="501"/>
      <c r="J13" s="496">
        <v>58093</v>
      </c>
      <c r="K13" s="496">
        <v>86392</v>
      </c>
      <c r="L13" s="502"/>
      <c r="M13" s="463"/>
      <c r="O13" s="58">
        <f t="shared" si="15"/>
        <v>0</v>
      </c>
      <c r="P13" s="59">
        <f t="shared" si="16"/>
        <v>0</v>
      </c>
      <c r="Q13" s="59">
        <f t="shared" si="17"/>
        <v>0</v>
      </c>
      <c r="R13" s="59">
        <f t="shared" si="18"/>
        <v>0</v>
      </c>
      <c r="S13" s="59">
        <f t="shared" si="19"/>
        <v>0</v>
      </c>
      <c r="T13" s="59">
        <f t="shared" si="20"/>
        <v>0</v>
      </c>
      <c r="U13" s="59">
        <f t="shared" si="21"/>
        <v>0</v>
      </c>
      <c r="V13" s="59">
        <f t="shared" si="22"/>
        <v>0</v>
      </c>
      <c r="W13" s="59">
        <f t="shared" si="23"/>
        <v>1.3413231334313241E-2</v>
      </c>
      <c r="X13" s="59">
        <f t="shared" si="24"/>
        <v>2.0238228822328206E-2</v>
      </c>
      <c r="Y13" s="60">
        <f t="shared" si="25"/>
        <v>0</v>
      </c>
      <c r="Z13" s="65">
        <f t="shared" si="26"/>
        <v>3.0592236506037677E-3</v>
      </c>
      <c r="AB13" s="68"/>
      <c r="AC13" s="59" t="str">
        <f t="shared" si="27"/>
        <v/>
      </c>
      <c r="AD13" s="59" t="str">
        <f t="shared" si="0"/>
        <v/>
      </c>
      <c r="AE13" s="59" t="str">
        <f t="shared" si="0"/>
        <v/>
      </c>
      <c r="AF13" s="59" t="str">
        <f t="shared" si="0"/>
        <v/>
      </c>
      <c r="AG13" s="59" t="str">
        <f t="shared" si="1"/>
        <v/>
      </c>
      <c r="AH13" s="59" t="str">
        <f t="shared" si="2"/>
        <v/>
      </c>
      <c r="AI13" s="59" t="str">
        <f t="shared" si="3"/>
        <v/>
      </c>
      <c r="AJ13" s="59" t="str">
        <f t="shared" si="4"/>
        <v/>
      </c>
      <c r="AK13" s="59">
        <f t="shared" si="5"/>
        <v>0.4871327010138915</v>
      </c>
      <c r="AL13" s="60">
        <f t="shared" si="28"/>
        <v>-1</v>
      </c>
      <c r="AM13" s="65">
        <f t="shared" si="29"/>
        <v>-0.25643364949305425</v>
      </c>
      <c r="AO13" s="58"/>
      <c r="AP13" s="59">
        <f t="shared" si="30"/>
        <v>0</v>
      </c>
      <c r="AQ13" s="59">
        <f t="shared" si="6"/>
        <v>0</v>
      </c>
      <c r="AR13" s="59">
        <f t="shared" si="7"/>
        <v>0</v>
      </c>
      <c r="AS13" s="59">
        <f t="shared" si="8"/>
        <v>0</v>
      </c>
      <c r="AT13" s="59">
        <f t="shared" si="9"/>
        <v>0</v>
      </c>
      <c r="AU13" s="59">
        <f t="shared" si="10"/>
        <v>0</v>
      </c>
      <c r="AV13" s="59">
        <f t="shared" si="11"/>
        <v>0</v>
      </c>
      <c r="AW13" s="59">
        <f t="shared" si="12"/>
        <v>0</v>
      </c>
      <c r="AX13" s="59">
        <f t="shared" si="13"/>
        <v>0.38119504134289173</v>
      </c>
      <c r="AY13" s="60">
        <f t="shared" si="14"/>
        <v>-1</v>
      </c>
      <c r="AZ13" s="65">
        <f t="shared" si="31"/>
        <v>-6.188049586571083E-2</v>
      </c>
    </row>
    <row r="14" spans="1:52" ht="38.25">
      <c r="A14" s="509" t="s">
        <v>10</v>
      </c>
      <c r="B14" s="495">
        <v>23641</v>
      </c>
      <c r="C14" s="496">
        <v>27806</v>
      </c>
      <c r="D14" s="463">
        <v>25042</v>
      </c>
      <c r="E14" s="496">
        <v>28652</v>
      </c>
      <c r="F14" s="496">
        <v>54480</v>
      </c>
      <c r="G14" s="496">
        <v>38146</v>
      </c>
      <c r="H14" s="496">
        <v>44992</v>
      </c>
      <c r="I14" s="496">
        <v>45388</v>
      </c>
      <c r="J14" s="501"/>
      <c r="K14" s="501"/>
      <c r="L14" s="497">
        <v>61108</v>
      </c>
      <c r="M14" s="463"/>
      <c r="O14" s="58">
        <f t="shared" si="15"/>
        <v>8.2208091034307214E-3</v>
      </c>
      <c r="P14" s="59">
        <f t="shared" si="16"/>
        <v>8.9943131331657131E-3</v>
      </c>
      <c r="Q14" s="59">
        <f t="shared" si="17"/>
        <v>7.4299830465126074E-3</v>
      </c>
      <c r="R14" s="59">
        <f t="shared" si="18"/>
        <v>8.1320242019394025E-3</v>
      </c>
      <c r="S14" s="59">
        <f t="shared" si="19"/>
        <v>1.4801455911195612E-2</v>
      </c>
      <c r="T14" s="59">
        <f t="shared" si="20"/>
        <v>1.0290819653291155E-2</v>
      </c>
      <c r="U14" s="59">
        <f t="shared" si="21"/>
        <v>1.2082112822958593E-2</v>
      </c>
      <c r="V14" s="59">
        <f t="shared" si="22"/>
        <v>1.0980208867822604E-2</v>
      </c>
      <c r="W14" s="59">
        <f t="shared" si="23"/>
        <v>0</v>
      </c>
      <c r="X14" s="59">
        <f t="shared" si="24"/>
        <v>0</v>
      </c>
      <c r="Y14" s="60">
        <f t="shared" si="25"/>
        <v>1.2680191817263139E-2</v>
      </c>
      <c r="Z14" s="65">
        <f t="shared" si="26"/>
        <v>8.5101744143254131E-3</v>
      </c>
      <c r="AB14" s="68"/>
      <c r="AC14" s="59">
        <f t="shared" si="27"/>
        <v>0.17617698066917642</v>
      </c>
      <c r="AD14" s="59">
        <f t="shared" si="0"/>
        <v>-9.9403006545349948E-2</v>
      </c>
      <c r="AE14" s="59">
        <f t="shared" si="0"/>
        <v>0.14415781487101675</v>
      </c>
      <c r="AF14" s="59">
        <f t="shared" si="0"/>
        <v>0.90143794499511376</v>
      </c>
      <c r="AG14" s="59">
        <f t="shared" si="1"/>
        <v>-0.2998164464023495</v>
      </c>
      <c r="AH14" s="59">
        <f t="shared" si="2"/>
        <v>0.17946835841241549</v>
      </c>
      <c r="AI14" s="59">
        <f t="shared" si="3"/>
        <v>8.8015647226173943E-3</v>
      </c>
      <c r="AJ14" s="59">
        <f t="shared" si="4"/>
        <v>-1</v>
      </c>
      <c r="AK14" s="59" t="str">
        <f t="shared" si="5"/>
        <v/>
      </c>
      <c r="AL14" s="60" t="str">
        <f t="shared" si="28"/>
        <v/>
      </c>
      <c r="AM14" s="65">
        <f t="shared" si="29"/>
        <v>1.3529013403300316E-3</v>
      </c>
      <c r="AO14" s="58"/>
      <c r="AP14" s="59">
        <f t="shared" si="30"/>
        <v>8.1542051190047316E-2</v>
      </c>
      <c r="AQ14" s="59">
        <f t="shared" si="6"/>
        <v>-0.16340269999568036</v>
      </c>
      <c r="AR14" s="59">
        <f t="shared" si="7"/>
        <v>6.9406313553618704E-2</v>
      </c>
      <c r="AS14" s="59">
        <f t="shared" si="8"/>
        <v>0.78555539956344611</v>
      </c>
      <c r="AT14" s="59">
        <f t="shared" si="9"/>
        <v>-0.3363033216331095</v>
      </c>
      <c r="AU14" s="59">
        <f t="shared" si="10"/>
        <v>0.12488255400274828</v>
      </c>
      <c r="AV14" s="59">
        <f t="shared" si="11"/>
        <v>-3.4454857654462656E-2</v>
      </c>
      <c r="AW14" s="59">
        <f t="shared" si="12"/>
        <v>-1</v>
      </c>
      <c r="AX14" s="59">
        <f t="shared" si="13"/>
        <v>0</v>
      </c>
      <c r="AY14" s="60">
        <f t="shared" si="14"/>
        <v>0</v>
      </c>
      <c r="AZ14" s="65">
        <f t="shared" si="31"/>
        <v>-4.7277456097339209E-2</v>
      </c>
    </row>
    <row r="15" spans="1:52" ht="38.25">
      <c r="A15" s="509" t="s">
        <v>11</v>
      </c>
      <c r="B15" s="503"/>
      <c r="C15" s="501"/>
      <c r="D15" s="463">
        <v>0</v>
      </c>
      <c r="E15" s="501"/>
      <c r="F15" s="501"/>
      <c r="G15" s="501"/>
      <c r="H15" s="501"/>
      <c r="I15" s="496">
        <v>8213</v>
      </c>
      <c r="J15" s="496">
        <v>8213</v>
      </c>
      <c r="K15" s="496">
        <v>11370</v>
      </c>
      <c r="L15" s="502"/>
      <c r="M15" s="463"/>
      <c r="O15" s="58">
        <f t="shared" si="15"/>
        <v>0</v>
      </c>
      <c r="P15" s="59">
        <f t="shared" si="16"/>
        <v>0</v>
      </c>
      <c r="Q15" s="59">
        <f t="shared" si="17"/>
        <v>0</v>
      </c>
      <c r="R15" s="59">
        <f t="shared" si="18"/>
        <v>0</v>
      </c>
      <c r="S15" s="59">
        <f t="shared" si="19"/>
        <v>0</v>
      </c>
      <c r="T15" s="59">
        <f t="shared" si="20"/>
        <v>0</v>
      </c>
      <c r="U15" s="59">
        <f t="shared" si="21"/>
        <v>0</v>
      </c>
      <c r="V15" s="59">
        <f t="shared" si="22"/>
        <v>1.9868788100693363E-3</v>
      </c>
      <c r="W15" s="59">
        <f t="shared" si="23"/>
        <v>1.8963191597733745E-3</v>
      </c>
      <c r="X15" s="59">
        <f t="shared" si="24"/>
        <v>2.6635413199123958E-3</v>
      </c>
      <c r="Y15" s="60">
        <f t="shared" si="25"/>
        <v>0</v>
      </c>
      <c r="Z15" s="65">
        <f t="shared" si="26"/>
        <v>5.9515811725046426E-4</v>
      </c>
      <c r="AB15" s="68"/>
      <c r="AC15" s="59" t="str">
        <f t="shared" si="27"/>
        <v/>
      </c>
      <c r="AD15" s="59" t="str">
        <f t="shared" si="0"/>
        <v/>
      </c>
      <c r="AE15" s="59" t="str">
        <f t="shared" si="0"/>
        <v/>
      </c>
      <c r="AF15" s="59" t="str">
        <f t="shared" si="0"/>
        <v/>
      </c>
      <c r="AG15" s="59" t="str">
        <f t="shared" si="1"/>
        <v/>
      </c>
      <c r="AH15" s="59" t="str">
        <f t="shared" si="2"/>
        <v/>
      </c>
      <c r="AI15" s="59" t="str">
        <f t="shared" si="3"/>
        <v/>
      </c>
      <c r="AJ15" s="59">
        <f t="shared" si="4"/>
        <v>0</v>
      </c>
      <c r="AK15" s="59">
        <f t="shared" si="5"/>
        <v>0.38439060026786809</v>
      </c>
      <c r="AL15" s="60">
        <f t="shared" si="28"/>
        <v>-1</v>
      </c>
      <c r="AM15" s="65">
        <f t="shared" si="29"/>
        <v>-0.20520313324404396</v>
      </c>
      <c r="AO15" s="58"/>
      <c r="AP15" s="59">
        <f t="shared" si="30"/>
        <v>0</v>
      </c>
      <c r="AQ15" s="59">
        <f t="shared" si="6"/>
        <v>0</v>
      </c>
      <c r="AR15" s="59">
        <f t="shared" si="7"/>
        <v>0</v>
      </c>
      <c r="AS15" s="59">
        <f t="shared" si="8"/>
        <v>0</v>
      </c>
      <c r="AT15" s="59">
        <f t="shared" si="9"/>
        <v>0</v>
      </c>
      <c r="AU15" s="59">
        <f t="shared" si="10"/>
        <v>0</v>
      </c>
      <c r="AV15" s="59">
        <f t="shared" si="11"/>
        <v>0</v>
      </c>
      <c r="AW15" s="59">
        <f t="shared" si="12"/>
        <v>-5.3836692213075965E-2</v>
      </c>
      <c r="AX15" s="59">
        <f t="shared" si="13"/>
        <v>0.28577189585573337</v>
      </c>
      <c r="AY15" s="60">
        <f t="shared" si="14"/>
        <v>-1</v>
      </c>
      <c r="AZ15" s="65">
        <f t="shared" si="31"/>
        <v>-7.6806479635734254E-2</v>
      </c>
    </row>
    <row r="16" spans="1:52" ht="51">
      <c r="A16" s="509" t="s">
        <v>12</v>
      </c>
      <c r="B16" s="495">
        <v>4081</v>
      </c>
      <c r="C16" s="496">
        <v>7650</v>
      </c>
      <c r="D16" s="463">
        <v>10677</v>
      </c>
      <c r="E16" s="496">
        <v>12574</v>
      </c>
      <c r="F16" s="496">
        <v>8764</v>
      </c>
      <c r="G16" s="496">
        <v>13974</v>
      </c>
      <c r="H16" s="496">
        <v>13020</v>
      </c>
      <c r="I16" s="496">
        <v>10722</v>
      </c>
      <c r="J16" s="496">
        <v>11032</v>
      </c>
      <c r="K16" s="496">
        <v>11063</v>
      </c>
      <c r="L16" s="497">
        <v>11637</v>
      </c>
      <c r="M16" s="463"/>
      <c r="O16" s="58">
        <f t="shared" si="15"/>
        <v>1.4191075652933789E-3</v>
      </c>
      <c r="P16" s="59">
        <f t="shared" si="16"/>
        <v>2.4745197248334065E-3</v>
      </c>
      <c r="Q16" s="59">
        <f t="shared" si="17"/>
        <v>3.1678751292874016E-3</v>
      </c>
      <c r="R16" s="59">
        <f t="shared" si="18"/>
        <v>3.5687586316901451E-3</v>
      </c>
      <c r="S16" s="59">
        <f t="shared" si="19"/>
        <v>2.3810565272708948E-3</v>
      </c>
      <c r="T16" s="59">
        <f t="shared" si="20"/>
        <v>3.7698294404417397E-3</v>
      </c>
      <c r="U16" s="59">
        <f t="shared" si="21"/>
        <v>3.4963795553636396E-3</v>
      </c>
      <c r="V16" s="59">
        <f t="shared" si="22"/>
        <v>2.5938529893538812E-3</v>
      </c>
      <c r="W16" s="59">
        <f t="shared" si="23"/>
        <v>2.5472047936953451E-3</v>
      </c>
      <c r="X16" s="59">
        <f t="shared" si="24"/>
        <v>2.5916233616702583E-3</v>
      </c>
      <c r="Y16" s="60">
        <f t="shared" si="25"/>
        <v>2.4147311674001955E-3</v>
      </c>
      <c r="Z16" s="65">
        <f t="shared" si="26"/>
        <v>2.7659035351182081E-3</v>
      </c>
      <c r="AB16" s="68"/>
      <c r="AC16" s="59">
        <f t="shared" si="27"/>
        <v>0.87454055378583684</v>
      </c>
      <c r="AD16" s="59">
        <f t="shared" si="0"/>
        <v>0.39568627450980398</v>
      </c>
      <c r="AE16" s="59">
        <f t="shared" si="0"/>
        <v>0.17767163060784874</v>
      </c>
      <c r="AF16" s="59">
        <f t="shared" si="0"/>
        <v>-0.30300620327660255</v>
      </c>
      <c r="AG16" s="59">
        <f t="shared" si="1"/>
        <v>0.59447740757644918</v>
      </c>
      <c r="AH16" s="59">
        <f t="shared" si="2"/>
        <v>-6.8269643623872889E-2</v>
      </c>
      <c r="AI16" s="59">
        <f t="shared" si="3"/>
        <v>-0.17649769585253461</v>
      </c>
      <c r="AJ16" s="59">
        <f t="shared" si="4"/>
        <v>2.891251632158176E-2</v>
      </c>
      <c r="AK16" s="59">
        <f t="shared" si="5"/>
        <v>2.8100072516317187E-3</v>
      </c>
      <c r="AL16" s="60">
        <f t="shared" si="28"/>
        <v>5.1884660580312714E-2</v>
      </c>
      <c r="AM16" s="65">
        <f t="shared" si="29"/>
        <v>0.15782095078804551</v>
      </c>
      <c r="AO16" s="58"/>
      <c r="AP16" s="59">
        <f t="shared" si="30"/>
        <v>0.7237154517570914</v>
      </c>
      <c r="AQ16" s="59">
        <f t="shared" si="6"/>
        <v>0.29650373851351963</v>
      </c>
      <c r="AR16" s="59">
        <f t="shared" si="7"/>
        <v>0.10073056417221116</v>
      </c>
      <c r="AS16" s="59">
        <f t="shared" si="8"/>
        <v>-0.34548427390046255</v>
      </c>
      <c r="AT16" s="59">
        <f t="shared" si="9"/>
        <v>0.51138848335139042</v>
      </c>
      <c r="AU16" s="59">
        <f t="shared" si="10"/>
        <v>-0.11139013145463939</v>
      </c>
      <c r="AV16" s="59">
        <f t="shared" si="11"/>
        <v>-0.21180866754645344</v>
      </c>
      <c r="AW16" s="59">
        <f t="shared" si="12"/>
        <v>-2.6480730133804697E-2</v>
      </c>
      <c r="AX16" s="59">
        <f t="shared" si="13"/>
        <v>-6.862635158202679E-2</v>
      </c>
      <c r="AY16" s="60">
        <f t="shared" si="14"/>
        <v>3.1259471157169205E-2</v>
      </c>
      <c r="AZ16" s="65">
        <f t="shared" si="31"/>
        <v>8.9980755433399492E-2</v>
      </c>
    </row>
    <row r="17" spans="1:52" ht="25.5">
      <c r="A17" s="509" t="s">
        <v>13</v>
      </c>
      <c r="B17" s="495">
        <v>228076</v>
      </c>
      <c r="C17" s="496">
        <v>23630</v>
      </c>
      <c r="D17" s="463">
        <v>19759</v>
      </c>
      <c r="E17" s="496">
        <v>133323</v>
      </c>
      <c r="F17" s="496">
        <v>566648</v>
      </c>
      <c r="G17" s="496">
        <v>157275</v>
      </c>
      <c r="H17" s="496">
        <v>1149124</v>
      </c>
      <c r="I17" s="496">
        <v>1281492</v>
      </c>
      <c r="J17" s="496">
        <v>1424888</v>
      </c>
      <c r="K17" s="496">
        <v>1744151</v>
      </c>
      <c r="L17" s="497">
        <v>2194791</v>
      </c>
      <c r="M17" s="463"/>
      <c r="O17" s="58">
        <f t="shared" si="15"/>
        <v>7.9310065440297159E-2</v>
      </c>
      <c r="P17" s="59">
        <f t="shared" si="16"/>
        <v>7.6435164833743002E-3</v>
      </c>
      <c r="Q17" s="59">
        <f t="shared" si="17"/>
        <v>5.8625123798435675E-3</v>
      </c>
      <c r="R17" s="59">
        <f t="shared" si="18"/>
        <v>3.7839796966186195E-2</v>
      </c>
      <c r="S17" s="59">
        <f t="shared" si="19"/>
        <v>0.15395035589513897</v>
      </c>
      <c r="T17" s="59">
        <f t="shared" si="20"/>
        <v>4.2428790986508848E-2</v>
      </c>
      <c r="U17" s="59">
        <f t="shared" si="21"/>
        <v>0.30858476652670408</v>
      </c>
      <c r="V17" s="59">
        <f t="shared" si="22"/>
        <v>0.31001696092455544</v>
      </c>
      <c r="W17" s="59">
        <f t="shared" si="23"/>
        <v>0.32899578898467846</v>
      </c>
      <c r="X17" s="59">
        <f t="shared" si="24"/>
        <v>0.40858559865140942</v>
      </c>
      <c r="Y17" s="60">
        <f t="shared" si="25"/>
        <v>0.4554292544151794</v>
      </c>
      <c r="Z17" s="65">
        <f t="shared" si="26"/>
        <v>0.1944224916048978</v>
      </c>
      <c r="AB17" s="68"/>
      <c r="AC17" s="59">
        <f t="shared" si="27"/>
        <v>-0.89639418439467544</v>
      </c>
      <c r="AD17" s="59">
        <f t="shared" si="0"/>
        <v>-0.16381718154887859</v>
      </c>
      <c r="AE17" s="59">
        <f t="shared" si="0"/>
        <v>5.7474568551040033</v>
      </c>
      <c r="AF17" s="59">
        <f t="shared" si="0"/>
        <v>3.2501893896776997</v>
      </c>
      <c r="AG17" s="59">
        <f t="shared" si="1"/>
        <v>-0.72244673942200444</v>
      </c>
      <c r="AH17" s="59">
        <f t="shared" si="2"/>
        <v>6.3064632013988238</v>
      </c>
      <c r="AI17" s="59">
        <f t="shared" si="3"/>
        <v>0.11519035369551056</v>
      </c>
      <c r="AJ17" s="59">
        <f t="shared" si="4"/>
        <v>0.11189769425013973</v>
      </c>
      <c r="AK17" s="59">
        <f t="shared" si="5"/>
        <v>0.22406182099926442</v>
      </c>
      <c r="AL17" s="60">
        <f t="shared" si="28"/>
        <v>0.25837212489056283</v>
      </c>
      <c r="AM17" s="65">
        <f t="shared" si="29"/>
        <v>1.4230973334650447</v>
      </c>
      <c r="AO17" s="58"/>
      <c r="AP17" s="59">
        <f t="shared" si="30"/>
        <v>-0.90473028450085091</v>
      </c>
      <c r="AQ17" s="59">
        <f t="shared" si="6"/>
        <v>-0.22323936976207948</v>
      </c>
      <c r="AR17" s="59">
        <f t="shared" si="7"/>
        <v>5.3066238481203873</v>
      </c>
      <c r="AS17" s="59">
        <f t="shared" si="8"/>
        <v>2.9911629164031361</v>
      </c>
      <c r="AT17" s="59">
        <f t="shared" si="9"/>
        <v>-0.73691016281514987</v>
      </c>
      <c r="AU17" s="59">
        <f t="shared" si="10"/>
        <v>5.9683200300340422</v>
      </c>
      <c r="AV17" s="59">
        <f t="shared" si="11"/>
        <v>6.7372084318061409E-2</v>
      </c>
      <c r="AW17" s="59">
        <f t="shared" si="12"/>
        <v>5.2036800312366127E-2</v>
      </c>
      <c r="AX17" s="59">
        <f t="shared" si="13"/>
        <v>0.13686432710993257</v>
      </c>
      <c r="AY17" s="60">
        <f t="shared" si="14"/>
        <v>0.23369816165741453</v>
      </c>
      <c r="AZ17" s="65">
        <f t="shared" si="31"/>
        <v>1.289119835087726</v>
      </c>
    </row>
    <row r="18" spans="1:52" ht="25.5">
      <c r="A18" s="509" t="s">
        <v>14</v>
      </c>
      <c r="B18" s="503">
        <v>531</v>
      </c>
      <c r="C18" s="501">
        <v>497</v>
      </c>
      <c r="D18" s="463">
        <v>18750</v>
      </c>
      <c r="E18" s="496">
        <v>17495</v>
      </c>
      <c r="F18" s="496">
        <v>17426</v>
      </c>
      <c r="G18" s="496">
        <v>15622</v>
      </c>
      <c r="H18" s="496">
        <v>13762</v>
      </c>
      <c r="I18" s="496">
        <v>8192</v>
      </c>
      <c r="J18" s="496">
        <v>34749</v>
      </c>
      <c r="K18" s="496">
        <v>47941</v>
      </c>
      <c r="L18" s="497">
        <v>56479</v>
      </c>
      <c r="M18" s="463"/>
      <c r="O18" s="58">
        <f t="shared" si="15"/>
        <v>1.8464741905679596E-4</v>
      </c>
      <c r="P18" s="59">
        <f t="shared" si="16"/>
        <v>1.6076291545649712E-4</v>
      </c>
      <c r="Q18" s="59">
        <f t="shared" si="17"/>
        <v>5.5631412076555947E-3</v>
      </c>
      <c r="R18" s="59">
        <f t="shared" si="18"/>
        <v>4.9654391809622308E-3</v>
      </c>
      <c r="S18" s="59">
        <f t="shared" si="19"/>
        <v>4.7344010776155417E-3</v>
      </c>
      <c r="T18" s="59">
        <f t="shared" si="20"/>
        <v>4.2144178845413523E-3</v>
      </c>
      <c r="U18" s="59">
        <f t="shared" si="21"/>
        <v>3.6956355945402773E-3</v>
      </c>
      <c r="V18" s="59">
        <f t="shared" si="22"/>
        <v>1.9817985160219169E-3</v>
      </c>
      <c r="W18" s="59">
        <f t="shared" si="23"/>
        <v>8.0232794938469489E-3</v>
      </c>
      <c r="X18" s="59">
        <f t="shared" si="24"/>
        <v>1.1230680247838186E-2</v>
      </c>
      <c r="Y18" s="60">
        <f t="shared" si="25"/>
        <v>1.1719652969287243E-2</v>
      </c>
      <c r="Z18" s="65">
        <f t="shared" si="26"/>
        <v>5.1339869551656897E-3</v>
      </c>
      <c r="AB18" s="68"/>
      <c r="AC18" s="59">
        <f t="shared" si="27"/>
        <v>-6.4030131826741998E-2</v>
      </c>
      <c r="AD18" s="59">
        <f t="shared" si="0"/>
        <v>36.726358148893361</v>
      </c>
      <c r="AE18" s="59">
        <f t="shared" si="0"/>
        <v>-6.6933333333333289E-2</v>
      </c>
      <c r="AF18" s="59">
        <f t="shared" si="0"/>
        <v>-3.9439839954272804E-3</v>
      </c>
      <c r="AG18" s="59">
        <f t="shared" si="1"/>
        <v>-0.10352347067600143</v>
      </c>
      <c r="AH18" s="59">
        <f t="shared" si="2"/>
        <v>-0.11906286006913325</v>
      </c>
      <c r="AI18" s="59">
        <f t="shared" si="3"/>
        <v>-0.40473768347623895</v>
      </c>
      <c r="AJ18" s="59">
        <f t="shared" si="4"/>
        <v>3.2418212890625</v>
      </c>
      <c r="AK18" s="59">
        <f t="shared" si="5"/>
        <v>0.37963682408126842</v>
      </c>
      <c r="AL18" s="60">
        <f t="shared" si="28"/>
        <v>0.17809390709413653</v>
      </c>
      <c r="AM18" s="65">
        <f t="shared" si="29"/>
        <v>3.9763678705754386</v>
      </c>
      <c r="AO18" s="58"/>
      <c r="AP18" s="59">
        <f t="shared" si="30"/>
        <v>-0.13933805225447538</v>
      </c>
      <c r="AQ18" s="59">
        <f t="shared" si="6"/>
        <v>34.045386111373304</v>
      </c>
      <c r="AR18" s="59">
        <f t="shared" si="7"/>
        <v>-0.12789357260803191</v>
      </c>
      <c r="AS18" s="59">
        <f t="shared" si="8"/>
        <v>-6.4648308757091932E-2</v>
      </c>
      <c r="AT18" s="59">
        <f t="shared" si="9"/>
        <v>-0.15023925984968656</v>
      </c>
      <c r="AU18" s="59">
        <f t="shared" si="10"/>
        <v>-0.15983263746460596</v>
      </c>
      <c r="AV18" s="59">
        <f t="shared" si="11"/>
        <v>-0.4302619481970128</v>
      </c>
      <c r="AW18" s="59">
        <f t="shared" si="12"/>
        <v>3.0134556619003696</v>
      </c>
      <c r="AX18" s="59">
        <f t="shared" si="13"/>
        <v>0.28135676054729131</v>
      </c>
      <c r="AY18" s="60">
        <f t="shared" si="14"/>
        <v>0.15499402656287886</v>
      </c>
      <c r="AZ18" s="65">
        <f t="shared" si="31"/>
        <v>3.6422978781252953</v>
      </c>
    </row>
    <row r="19" spans="1:52" ht="38.25">
      <c r="A19" s="509" t="s">
        <v>15</v>
      </c>
      <c r="B19" s="495">
        <v>1882370</v>
      </c>
      <c r="C19" s="496">
        <v>1825100</v>
      </c>
      <c r="D19" s="463">
        <v>1754523</v>
      </c>
      <c r="E19" s="496">
        <v>1893221</v>
      </c>
      <c r="F19" s="496">
        <v>2400713</v>
      </c>
      <c r="G19" s="496">
        <v>3111196</v>
      </c>
      <c r="H19" s="496">
        <v>2861866</v>
      </c>
      <c r="I19" s="496">
        <v>2915853</v>
      </c>
      <c r="J19" s="496">
        <v>3278296</v>
      </c>
      <c r="K19" s="496">
        <v>3145314</v>
      </c>
      <c r="L19" s="497">
        <v>3665614</v>
      </c>
      <c r="M19" s="463"/>
      <c r="O19" s="58">
        <f t="shared" si="15"/>
        <v>0.65456640717503012</v>
      </c>
      <c r="P19" s="59">
        <f t="shared" si="16"/>
        <v>0.5903589476854183</v>
      </c>
      <c r="Q19" s="59">
        <f t="shared" si="17"/>
        <v>0.52056849072424083</v>
      </c>
      <c r="R19" s="59">
        <f t="shared" si="18"/>
        <v>0.53733488034412669</v>
      </c>
      <c r="S19" s="59">
        <f t="shared" si="19"/>
        <v>0.6522402280641364</v>
      </c>
      <c r="T19" s="59">
        <f t="shared" si="20"/>
        <v>0.83932147386464706</v>
      </c>
      <c r="U19" s="59">
        <f t="shared" si="21"/>
        <v>0.76852302400847294</v>
      </c>
      <c r="V19" s="59">
        <f t="shared" si="22"/>
        <v>0.70539955424048517</v>
      </c>
      <c r="W19" s="59">
        <f t="shared" si="23"/>
        <v>0.75693358288182322</v>
      </c>
      <c r="X19" s="59">
        <f t="shared" si="24"/>
        <v>0.73682267397528034</v>
      </c>
      <c r="Y19" s="60">
        <f t="shared" si="25"/>
        <v>0.76063181004197822</v>
      </c>
      <c r="Z19" s="65">
        <f t="shared" si="26"/>
        <v>0.68388191572778534</v>
      </c>
      <c r="AB19" s="68"/>
      <c r="AC19" s="59">
        <f t="shared" si="27"/>
        <v>-3.0424411778768201E-2</v>
      </c>
      <c r="AD19" s="59">
        <f t="shared" si="0"/>
        <v>-3.8670209851515036E-2</v>
      </c>
      <c r="AE19" s="59">
        <f t="shared" si="0"/>
        <v>7.9051685272863326E-2</v>
      </c>
      <c r="AF19" s="59">
        <f t="shared" si="0"/>
        <v>0.26805745340876741</v>
      </c>
      <c r="AG19" s="59">
        <f t="shared" si="1"/>
        <v>0.29594666251234525</v>
      </c>
      <c r="AH19" s="59">
        <f t="shared" si="2"/>
        <v>-8.0139599048083099E-2</v>
      </c>
      <c r="AI19" s="59">
        <f t="shared" si="3"/>
        <v>1.8864265482730458E-2</v>
      </c>
      <c r="AJ19" s="59">
        <f t="shared" si="4"/>
        <v>0.12430084781365869</v>
      </c>
      <c r="AK19" s="59">
        <f t="shared" si="5"/>
        <v>-4.0564366365941296E-2</v>
      </c>
      <c r="AL19" s="60">
        <f t="shared" si="28"/>
        <v>0.16542068613817262</v>
      </c>
      <c r="AM19" s="65">
        <f t="shared" si="29"/>
        <v>7.6184301358423009E-2</v>
      </c>
      <c r="AO19" s="58"/>
      <c r="AP19" s="59">
        <f t="shared" si="30"/>
        <v>-0.10843624071610858</v>
      </c>
      <c r="AQ19" s="59">
        <f t="shared" si="6"/>
        <v>-0.10698579642500239</v>
      </c>
      <c r="AR19" s="59">
        <f t="shared" si="7"/>
        <v>8.5537763088729957E-3</v>
      </c>
      <c r="AS19" s="59">
        <f t="shared" si="8"/>
        <v>0.19077608546226643</v>
      </c>
      <c r="AT19" s="59">
        <f t="shared" si="9"/>
        <v>0.22841430769216986</v>
      </c>
      <c r="AU19" s="59">
        <f t="shared" si="10"/>
        <v>-0.12271074525343328</v>
      </c>
      <c r="AV19" s="59">
        <f t="shared" si="11"/>
        <v>-2.4823635640571884E-2</v>
      </c>
      <c r="AW19" s="59">
        <f t="shared" si="12"/>
        <v>6.3772209115014356E-2</v>
      </c>
      <c r="AX19" s="59">
        <f t="shared" si="13"/>
        <v>-0.10891090031201012</v>
      </c>
      <c r="AY19" s="60">
        <f t="shared" si="14"/>
        <v>0.14256930013546332</v>
      </c>
      <c r="AZ19" s="65">
        <f t="shared" si="31"/>
        <v>1.6221836036666069E-2</v>
      </c>
    </row>
    <row r="20" spans="1:52" ht="38.25">
      <c r="A20" s="509" t="s">
        <v>16</v>
      </c>
      <c r="B20" s="495">
        <v>301436</v>
      </c>
      <c r="C20" s="496">
        <v>1102595</v>
      </c>
      <c r="D20" s="463">
        <v>1425450</v>
      </c>
      <c r="E20" s="496">
        <v>1449199</v>
      </c>
      <c r="F20" s="496">
        <v>1020145</v>
      </c>
      <c r="G20" s="496">
        <v>232919</v>
      </c>
      <c r="H20" s="496">
        <v>403353</v>
      </c>
      <c r="I20" s="496">
        <v>512700</v>
      </c>
      <c r="J20" s="496">
        <v>583192</v>
      </c>
      <c r="K20" s="496">
        <v>525475</v>
      </c>
      <c r="L20" s="497">
        <v>727361</v>
      </c>
      <c r="M20" s="463"/>
      <c r="O20" s="58">
        <f t="shared" si="15"/>
        <v>0.1048199235608368</v>
      </c>
      <c r="P20" s="59">
        <f t="shared" si="16"/>
        <v>0.35665268967355424</v>
      </c>
      <c r="Q20" s="59">
        <f t="shared" si="17"/>
        <v>0.42293224717080891</v>
      </c>
      <c r="R20" s="59">
        <f t="shared" si="18"/>
        <v>0.41131234613382589</v>
      </c>
      <c r="S20" s="59">
        <f t="shared" si="19"/>
        <v>0.27715916373947591</v>
      </c>
      <c r="T20" s="59">
        <f t="shared" si="20"/>
        <v>6.2835616390314125E-2</v>
      </c>
      <c r="U20" s="59">
        <f t="shared" si="21"/>
        <v>0.1083160662668656</v>
      </c>
      <c r="V20" s="59">
        <f t="shared" si="22"/>
        <v>0.12403175038628379</v>
      </c>
      <c r="W20" s="59">
        <f t="shared" si="23"/>
        <v>0.13465459191848944</v>
      </c>
      <c r="X20" s="59">
        <f t="shared" si="24"/>
        <v>0.12309801012145702</v>
      </c>
      <c r="Y20" s="60">
        <f t="shared" si="25"/>
        <v>0.15093076193618404</v>
      </c>
      <c r="Z20" s="65">
        <f t="shared" si="26"/>
        <v>0.20697665157255418</v>
      </c>
      <c r="AB20" s="68"/>
      <c r="AC20" s="59">
        <f t="shared" si="27"/>
        <v>2.6578079592351278</v>
      </c>
      <c r="AD20" s="59">
        <f t="shared" si="27"/>
        <v>0.29281377114897134</v>
      </c>
      <c r="AE20" s="59">
        <f t="shared" si="27"/>
        <v>1.666070363744776E-2</v>
      </c>
      <c r="AF20" s="59">
        <f t="shared" si="27"/>
        <v>-0.29606285955206979</v>
      </c>
      <c r="AG20" s="59">
        <f t="shared" si="1"/>
        <v>-0.77168049640002156</v>
      </c>
      <c r="AH20" s="59">
        <f t="shared" si="2"/>
        <v>0.73173077335897885</v>
      </c>
      <c r="AI20" s="59">
        <f t="shared" si="3"/>
        <v>0.27109504577875954</v>
      </c>
      <c r="AJ20" s="59">
        <f t="shared" si="4"/>
        <v>0.13749171055197973</v>
      </c>
      <c r="AK20" s="59">
        <f t="shared" si="5"/>
        <v>-9.8967406960314919E-2</v>
      </c>
      <c r="AL20" s="60">
        <f t="shared" si="28"/>
        <v>0.3841971549550407</v>
      </c>
      <c r="AM20" s="65">
        <f t="shared" si="29"/>
        <v>0.33250863557539001</v>
      </c>
      <c r="AO20" s="58"/>
      <c r="AP20" s="59">
        <f t="shared" si="30"/>
        <v>2.3635015717104628</v>
      </c>
      <c r="AQ20" s="59">
        <f t="shared" si="6"/>
        <v>0.20094172888896544</v>
      </c>
      <c r="AR20" s="59">
        <f t="shared" si="7"/>
        <v>-4.9761002301665913E-2</v>
      </c>
      <c r="AS20" s="59">
        <f t="shared" si="8"/>
        <v>-0.33896409010430062</v>
      </c>
      <c r="AT20" s="59">
        <f t="shared" si="9"/>
        <v>-0.78357832690146256</v>
      </c>
      <c r="AU20" s="59">
        <f t="shared" si="10"/>
        <v>0.65158626027342992</v>
      </c>
      <c r="AV20" s="59">
        <f t="shared" si="11"/>
        <v>0.21659173600570414</v>
      </c>
      <c r="AW20" s="59">
        <f t="shared" si="12"/>
        <v>7.625291943606749E-2</v>
      </c>
      <c r="AX20" s="59">
        <f t="shared" si="13"/>
        <v>-0.16315353112316788</v>
      </c>
      <c r="AY20" s="60">
        <f t="shared" si="14"/>
        <v>0.35705603426964783</v>
      </c>
      <c r="AZ20" s="65">
        <f t="shared" si="31"/>
        <v>0.25304733001536805</v>
      </c>
    </row>
    <row r="21" spans="1:52" ht="38.25">
      <c r="A21" s="509" t="s">
        <v>17</v>
      </c>
      <c r="B21" s="495">
        <v>513845</v>
      </c>
      <c r="C21" s="501"/>
      <c r="D21" s="463">
        <v>0</v>
      </c>
      <c r="E21" s="501"/>
      <c r="F21" s="501"/>
      <c r="G21" s="496">
        <v>22944</v>
      </c>
      <c r="H21" s="501"/>
      <c r="I21" s="496">
        <v>187057</v>
      </c>
      <c r="J21" s="496">
        <v>37058</v>
      </c>
      <c r="K21" s="496">
        <v>2057</v>
      </c>
      <c r="L21" s="502"/>
      <c r="M21" s="463"/>
      <c r="O21" s="58">
        <f t="shared" si="15"/>
        <v>0.17868202080082732</v>
      </c>
      <c r="P21" s="59">
        <f t="shared" si="16"/>
        <v>0</v>
      </c>
      <c r="Q21" s="59">
        <f t="shared" si="17"/>
        <v>0</v>
      </c>
      <c r="R21" s="59">
        <f t="shared" si="18"/>
        <v>0</v>
      </c>
      <c r="S21" s="59">
        <f t="shared" si="19"/>
        <v>0</v>
      </c>
      <c r="T21" s="59">
        <f t="shared" si="20"/>
        <v>6.1897070761052862E-3</v>
      </c>
      <c r="U21" s="59">
        <f t="shared" si="21"/>
        <v>0</v>
      </c>
      <c r="V21" s="59">
        <f t="shared" si="22"/>
        <v>4.5252598268006802E-2</v>
      </c>
      <c r="W21" s="59">
        <f t="shared" si="23"/>
        <v>8.5564100113091086E-3</v>
      </c>
      <c r="X21" s="59">
        <f t="shared" si="24"/>
        <v>4.8187374626735256E-4</v>
      </c>
      <c r="Y21" s="60">
        <f t="shared" si="25"/>
        <v>0</v>
      </c>
      <c r="Z21" s="65">
        <f t="shared" si="26"/>
        <v>2.1742055445683257E-2</v>
      </c>
      <c r="AB21" s="68"/>
      <c r="AC21" s="59">
        <f t="shared" si="27"/>
        <v>-1</v>
      </c>
      <c r="AD21" s="59" t="str">
        <f t="shared" si="27"/>
        <v/>
      </c>
      <c r="AE21" s="59" t="str">
        <f t="shared" si="27"/>
        <v/>
      </c>
      <c r="AF21" s="59" t="str">
        <f t="shared" si="27"/>
        <v/>
      </c>
      <c r="AG21" s="59" t="str">
        <f t="shared" si="1"/>
        <v/>
      </c>
      <c r="AH21" s="59">
        <f t="shared" si="2"/>
        <v>-1</v>
      </c>
      <c r="AI21" s="59" t="str">
        <f t="shared" si="3"/>
        <v/>
      </c>
      <c r="AJ21" s="59">
        <f t="shared" si="4"/>
        <v>-0.80188926370036939</v>
      </c>
      <c r="AK21" s="59">
        <f t="shared" si="5"/>
        <v>-0.94449241729181288</v>
      </c>
      <c r="AL21" s="60">
        <f t="shared" si="28"/>
        <v>-1</v>
      </c>
      <c r="AM21" s="65">
        <f t="shared" si="29"/>
        <v>-0.94927633619843643</v>
      </c>
      <c r="AO21" s="58"/>
      <c r="AP21" s="59">
        <f t="shared" si="30"/>
        <v>-1</v>
      </c>
      <c r="AQ21" s="59">
        <f t="shared" si="6"/>
        <v>0</v>
      </c>
      <c r="AR21" s="59">
        <f t="shared" si="7"/>
        <v>0</v>
      </c>
      <c r="AS21" s="59">
        <f t="shared" si="8"/>
        <v>0</v>
      </c>
      <c r="AT21" s="59">
        <f t="shared" si="9"/>
        <v>0</v>
      </c>
      <c r="AU21" s="59">
        <f t="shared" si="10"/>
        <v>-1</v>
      </c>
      <c r="AV21" s="59">
        <f t="shared" si="11"/>
        <v>0</v>
      </c>
      <c r="AW21" s="59">
        <f t="shared" si="12"/>
        <v>-0.81255489043463847</v>
      </c>
      <c r="AX21" s="59">
        <f t="shared" si="13"/>
        <v>-0.94844656570243602</v>
      </c>
      <c r="AY21" s="60">
        <f t="shared" si="14"/>
        <v>-1</v>
      </c>
      <c r="AZ21" s="65">
        <f t="shared" si="31"/>
        <v>-0.4761001456137075</v>
      </c>
    </row>
    <row r="22" spans="1:52" ht="25.5">
      <c r="A22" s="509" t="s">
        <v>18</v>
      </c>
      <c r="B22" s="495">
        <v>815281</v>
      </c>
      <c r="C22" s="496">
        <v>1102595</v>
      </c>
      <c r="D22" s="463">
        <v>1425450</v>
      </c>
      <c r="E22" s="496">
        <v>1449199</v>
      </c>
      <c r="F22" s="496">
        <v>1020145</v>
      </c>
      <c r="G22" s="496">
        <v>255863</v>
      </c>
      <c r="H22" s="496">
        <v>403353</v>
      </c>
      <c r="I22" s="496">
        <v>699757</v>
      </c>
      <c r="J22" s="496">
        <v>620250</v>
      </c>
      <c r="K22" s="496">
        <v>527532</v>
      </c>
      <c r="L22" s="497">
        <v>727361</v>
      </c>
      <c r="M22" s="463"/>
      <c r="O22" s="58">
        <f t="shared" si="15"/>
        <v>0.28350194436166415</v>
      </c>
      <c r="P22" s="59">
        <f t="shared" si="16"/>
        <v>0.35665268967355424</v>
      </c>
      <c r="Q22" s="59">
        <f t="shared" si="17"/>
        <v>0.42293224717080891</v>
      </c>
      <c r="R22" s="59">
        <f t="shared" si="18"/>
        <v>0.41131234613382589</v>
      </c>
      <c r="S22" s="59">
        <f t="shared" si="19"/>
        <v>0.27715916373947591</v>
      </c>
      <c r="T22" s="59">
        <f t="shared" si="20"/>
        <v>6.9025323466419403E-2</v>
      </c>
      <c r="U22" s="59">
        <f t="shared" si="21"/>
        <v>0.1083160662668656</v>
      </c>
      <c r="V22" s="59">
        <f t="shared" si="22"/>
        <v>0.1692843486542906</v>
      </c>
      <c r="W22" s="59">
        <f t="shared" si="23"/>
        <v>0.14321100192979855</v>
      </c>
      <c r="X22" s="59">
        <f t="shared" si="24"/>
        <v>0.12357988386772437</v>
      </c>
      <c r="Y22" s="60">
        <f t="shared" si="25"/>
        <v>0.15093076193618404</v>
      </c>
      <c r="Z22" s="65">
        <f t="shared" si="26"/>
        <v>0.22871870701823746</v>
      </c>
      <c r="AB22" s="68"/>
      <c r="AC22" s="59">
        <f t="shared" si="27"/>
        <v>0.35241100921032142</v>
      </c>
      <c r="AD22" s="59">
        <f t="shared" si="27"/>
        <v>0.29281377114897134</v>
      </c>
      <c r="AE22" s="59">
        <f t="shared" si="27"/>
        <v>1.666070363744776E-2</v>
      </c>
      <c r="AF22" s="59">
        <f t="shared" si="27"/>
        <v>-0.29606285955206979</v>
      </c>
      <c r="AG22" s="59">
        <f t="shared" si="1"/>
        <v>-0.74918957599164826</v>
      </c>
      <c r="AH22" s="59">
        <f t="shared" si="2"/>
        <v>0.57644129866373794</v>
      </c>
      <c r="AI22" s="59">
        <f t="shared" si="3"/>
        <v>0.73485011887850105</v>
      </c>
      <c r="AJ22" s="59">
        <f t="shared" si="4"/>
        <v>-0.11362087124530373</v>
      </c>
      <c r="AK22" s="59">
        <f t="shared" si="5"/>
        <v>-0.14948488512696489</v>
      </c>
      <c r="AL22" s="60">
        <f t="shared" si="28"/>
        <v>0.37879976949265637</v>
      </c>
      <c r="AM22" s="65">
        <f t="shared" si="29"/>
        <v>0.10436184791156493</v>
      </c>
      <c r="AO22" s="58"/>
      <c r="AP22" s="59">
        <f t="shared" si="30"/>
        <v>0.24359633030834171</v>
      </c>
      <c r="AQ22" s="59">
        <f t="shared" si="6"/>
        <v>0.20094172888896544</v>
      </c>
      <c r="AR22" s="59">
        <f t="shared" si="7"/>
        <v>-4.9761002301665913E-2</v>
      </c>
      <c r="AS22" s="59">
        <f t="shared" si="8"/>
        <v>-0.33896409010430062</v>
      </c>
      <c r="AT22" s="59">
        <f t="shared" si="9"/>
        <v>-0.76225941832134314</v>
      </c>
      <c r="AU22" s="59">
        <f t="shared" si="10"/>
        <v>0.50348358362337264</v>
      </c>
      <c r="AV22" s="59">
        <f t="shared" si="11"/>
        <v>0.66046144609351187</v>
      </c>
      <c r="AW22" s="59">
        <f t="shared" si="12"/>
        <v>-0.16134059158416469</v>
      </c>
      <c r="AX22" s="59">
        <f t="shared" si="13"/>
        <v>-0.21007233688767979</v>
      </c>
      <c r="AY22" s="60">
        <f t="shared" si="14"/>
        <v>0.35176447989476123</v>
      </c>
      <c r="AZ22" s="65">
        <f t="shared" si="31"/>
        <v>4.3785012960979877E-2</v>
      </c>
    </row>
    <row r="23" spans="1:52" ht="38.25">
      <c r="A23" s="509" t="s">
        <v>19</v>
      </c>
      <c r="B23" s="495">
        <v>8940</v>
      </c>
      <c r="C23" s="496">
        <v>7177</v>
      </c>
      <c r="D23" s="463">
        <v>12278</v>
      </c>
      <c r="E23" s="496">
        <v>20648</v>
      </c>
      <c r="F23" s="501"/>
      <c r="G23" s="501"/>
      <c r="H23" s="501"/>
      <c r="I23" s="496">
        <v>44652</v>
      </c>
      <c r="J23" s="496">
        <v>31070</v>
      </c>
      <c r="K23" s="501"/>
      <c r="L23" s="502"/>
      <c r="M23" s="463"/>
      <c r="O23" s="58">
        <f t="shared" si="15"/>
        <v>3.1087531570014233E-3</v>
      </c>
      <c r="P23" s="59">
        <f t="shared" si="16"/>
        <v>2.3215200085136417E-3</v>
      </c>
      <c r="Q23" s="59">
        <f t="shared" si="17"/>
        <v>3.6428932132050872E-3</v>
      </c>
      <c r="R23" s="59">
        <f t="shared" si="18"/>
        <v>5.8603251333814313E-3</v>
      </c>
      <c r="S23" s="59">
        <f t="shared" si="19"/>
        <v>0</v>
      </c>
      <c r="T23" s="59">
        <f t="shared" si="20"/>
        <v>0</v>
      </c>
      <c r="U23" s="59">
        <f t="shared" si="21"/>
        <v>0</v>
      </c>
      <c r="V23" s="59">
        <f t="shared" si="22"/>
        <v>1.0802156657398759E-2</v>
      </c>
      <c r="W23" s="59">
        <f t="shared" si="23"/>
        <v>7.1738264086398081E-3</v>
      </c>
      <c r="X23" s="59">
        <f t="shared" si="24"/>
        <v>0</v>
      </c>
      <c r="Y23" s="60">
        <f t="shared" si="25"/>
        <v>0</v>
      </c>
      <c r="Z23" s="65">
        <f t="shared" si="26"/>
        <v>2.9917704161945597E-3</v>
      </c>
      <c r="AB23" s="68"/>
      <c r="AC23" s="59">
        <f t="shared" si="27"/>
        <v>-0.19720357941834454</v>
      </c>
      <c r="AD23" s="59">
        <f t="shared" si="27"/>
        <v>0.71074265013236726</v>
      </c>
      <c r="AE23" s="59">
        <f t="shared" si="27"/>
        <v>0.68170711842319598</v>
      </c>
      <c r="AF23" s="59">
        <f t="shared" si="27"/>
        <v>-1</v>
      </c>
      <c r="AG23" s="59" t="str">
        <f t="shared" si="1"/>
        <v/>
      </c>
      <c r="AH23" s="59" t="str">
        <f t="shared" si="2"/>
        <v/>
      </c>
      <c r="AI23" s="59" t="str">
        <f t="shared" si="3"/>
        <v/>
      </c>
      <c r="AJ23" s="59">
        <f t="shared" si="4"/>
        <v>-0.30417450506136345</v>
      </c>
      <c r="AK23" s="59">
        <f t="shared" si="5"/>
        <v>-1</v>
      </c>
      <c r="AL23" s="60" t="str">
        <f t="shared" si="28"/>
        <v/>
      </c>
      <c r="AM23" s="65">
        <f t="shared" si="29"/>
        <v>-0.18482138598735745</v>
      </c>
      <c r="AO23" s="58"/>
      <c r="AP23" s="59">
        <f t="shared" si="30"/>
        <v>-0.26179639486744322</v>
      </c>
      <c r="AQ23" s="59">
        <f t="shared" si="6"/>
        <v>0.58917106375510198</v>
      </c>
      <c r="AR23" s="59">
        <f t="shared" si="7"/>
        <v>0.57183579626431991</v>
      </c>
      <c r="AS23" s="59">
        <f t="shared" si="8"/>
        <v>-1</v>
      </c>
      <c r="AT23" s="59">
        <f t="shared" si="9"/>
        <v>0</v>
      </c>
      <c r="AU23" s="59">
        <f t="shared" si="10"/>
        <v>0</v>
      </c>
      <c r="AV23" s="59">
        <f t="shared" si="11"/>
        <v>0</v>
      </c>
      <c r="AW23" s="59">
        <f t="shared" si="12"/>
        <v>-0.34163544806638602</v>
      </c>
      <c r="AX23" s="59">
        <f t="shared" si="13"/>
        <v>-1</v>
      </c>
      <c r="AY23" s="60">
        <f t="shared" si="14"/>
        <v>0</v>
      </c>
      <c r="AZ23" s="65">
        <f t="shared" si="31"/>
        <v>-0.14424249829144073</v>
      </c>
    </row>
    <row r="24" spans="1:52" ht="25.5">
      <c r="A24" s="509" t="s">
        <v>20</v>
      </c>
      <c r="B24" s="495">
        <v>10013</v>
      </c>
      <c r="C24" s="496">
        <v>9116</v>
      </c>
      <c r="D24" s="463">
        <v>0</v>
      </c>
      <c r="E24" s="496">
        <v>22010</v>
      </c>
      <c r="F24" s="501"/>
      <c r="G24" s="501"/>
      <c r="H24" s="501"/>
      <c r="I24" s="501"/>
      <c r="J24" s="501"/>
      <c r="K24" s="501"/>
      <c r="L24" s="502"/>
      <c r="M24" s="463"/>
      <c r="O24" s="58">
        <f t="shared" si="15"/>
        <v>3.4818730828920863E-3</v>
      </c>
      <c r="P24" s="59">
        <f t="shared" si="16"/>
        <v>2.9487218054354684E-3</v>
      </c>
      <c r="Q24" s="59">
        <f t="shared" si="17"/>
        <v>0</v>
      </c>
      <c r="R24" s="59">
        <f t="shared" si="18"/>
        <v>6.2468886180610857E-3</v>
      </c>
      <c r="S24" s="59">
        <f t="shared" si="19"/>
        <v>0</v>
      </c>
      <c r="T24" s="59">
        <f t="shared" si="20"/>
        <v>0</v>
      </c>
      <c r="U24" s="59">
        <f t="shared" si="21"/>
        <v>0</v>
      </c>
      <c r="V24" s="59">
        <f t="shared" si="22"/>
        <v>0</v>
      </c>
      <c r="W24" s="59">
        <f t="shared" si="23"/>
        <v>0</v>
      </c>
      <c r="X24" s="59">
        <f t="shared" si="24"/>
        <v>0</v>
      </c>
      <c r="Y24" s="60">
        <f t="shared" si="25"/>
        <v>0</v>
      </c>
      <c r="Z24" s="65">
        <f t="shared" si="26"/>
        <v>1.1524985005807854E-3</v>
      </c>
      <c r="AB24" s="68"/>
      <c r="AC24" s="59">
        <f t="shared" si="27"/>
        <v>-8.9583541396184962E-2</v>
      </c>
      <c r="AD24" s="59">
        <f t="shared" si="27"/>
        <v>-1</v>
      </c>
      <c r="AE24" s="59" t="str">
        <f t="shared" si="27"/>
        <v/>
      </c>
      <c r="AF24" s="59">
        <f t="shared" si="27"/>
        <v>-1</v>
      </c>
      <c r="AG24" s="59" t="str">
        <f t="shared" si="1"/>
        <v/>
      </c>
      <c r="AH24" s="59" t="str">
        <f t="shared" si="2"/>
        <v/>
      </c>
      <c r="AI24" s="59" t="str">
        <f t="shared" si="3"/>
        <v/>
      </c>
      <c r="AJ24" s="59" t="str">
        <f t="shared" si="4"/>
        <v/>
      </c>
      <c r="AK24" s="59" t="str">
        <f t="shared" si="5"/>
        <v/>
      </c>
      <c r="AL24" s="60" t="str">
        <f t="shared" si="28"/>
        <v/>
      </c>
      <c r="AM24" s="65">
        <f t="shared" si="29"/>
        <v>-0.69652784713206162</v>
      </c>
      <c r="AO24" s="58"/>
      <c r="AP24" s="59">
        <f t="shared" si="30"/>
        <v>-0.16283544036430797</v>
      </c>
      <c r="AQ24" s="59">
        <f t="shared" si="6"/>
        <v>-1</v>
      </c>
      <c r="AR24" s="59">
        <f t="shared" si="7"/>
        <v>0</v>
      </c>
      <c r="AS24" s="59">
        <f t="shared" si="8"/>
        <v>-1</v>
      </c>
      <c r="AT24" s="59">
        <f t="shared" si="9"/>
        <v>0</v>
      </c>
      <c r="AU24" s="59">
        <f t="shared" si="10"/>
        <v>0</v>
      </c>
      <c r="AV24" s="59">
        <f t="shared" si="11"/>
        <v>0</v>
      </c>
      <c r="AW24" s="59">
        <f t="shared" si="12"/>
        <v>0</v>
      </c>
      <c r="AX24" s="59">
        <f t="shared" si="13"/>
        <v>0</v>
      </c>
      <c r="AY24" s="60">
        <f t="shared" si="14"/>
        <v>0</v>
      </c>
      <c r="AZ24" s="65">
        <f t="shared" si="31"/>
        <v>-0.2162835440364308</v>
      </c>
    </row>
    <row r="25" spans="1:52" ht="25.5">
      <c r="A25" s="509" t="s">
        <v>21</v>
      </c>
      <c r="B25" s="495">
        <v>18953</v>
      </c>
      <c r="C25" s="496">
        <v>16293</v>
      </c>
      <c r="D25" s="463">
        <v>12278</v>
      </c>
      <c r="E25" s="496">
        <v>42658</v>
      </c>
      <c r="F25" s="501"/>
      <c r="G25" s="501"/>
      <c r="H25" s="501"/>
      <c r="I25" s="496">
        <v>44652</v>
      </c>
      <c r="J25" s="496">
        <v>31070</v>
      </c>
      <c r="K25" s="501"/>
      <c r="L25" s="502"/>
      <c r="M25" s="463"/>
      <c r="O25" s="58">
        <f t="shared" si="15"/>
        <v>6.5906262398935092E-3</v>
      </c>
      <c r="P25" s="59">
        <f t="shared" si="16"/>
        <v>5.2702418139491105E-3</v>
      </c>
      <c r="Q25" s="59">
        <f t="shared" si="17"/>
        <v>3.6428932132050872E-3</v>
      </c>
      <c r="R25" s="59">
        <f t="shared" si="18"/>
        <v>1.2107213751442518E-2</v>
      </c>
      <c r="S25" s="59">
        <f t="shared" si="19"/>
        <v>0</v>
      </c>
      <c r="T25" s="59">
        <f t="shared" si="20"/>
        <v>0</v>
      </c>
      <c r="U25" s="59">
        <f t="shared" si="21"/>
        <v>0</v>
      </c>
      <c r="V25" s="59">
        <f t="shared" si="22"/>
        <v>1.0802156657398759E-2</v>
      </c>
      <c r="W25" s="59">
        <f t="shared" si="23"/>
        <v>7.1738264086398081E-3</v>
      </c>
      <c r="X25" s="59">
        <f t="shared" si="24"/>
        <v>0</v>
      </c>
      <c r="Y25" s="60">
        <f t="shared" si="25"/>
        <v>0</v>
      </c>
      <c r="Z25" s="65">
        <f t="shared" si="26"/>
        <v>4.1442689167753453E-3</v>
      </c>
      <c r="AB25" s="68"/>
      <c r="AC25" s="59">
        <f t="shared" si="27"/>
        <v>-0.14034717458977475</v>
      </c>
      <c r="AD25" s="59">
        <f t="shared" si="27"/>
        <v>-0.24642484502547102</v>
      </c>
      <c r="AE25" s="59">
        <f t="shared" si="27"/>
        <v>2.4743443557582667</v>
      </c>
      <c r="AF25" s="59">
        <f t="shared" si="27"/>
        <v>-1</v>
      </c>
      <c r="AG25" s="59" t="str">
        <f t="shared" si="1"/>
        <v/>
      </c>
      <c r="AH25" s="59" t="str">
        <f t="shared" si="2"/>
        <v/>
      </c>
      <c r="AI25" s="59" t="str">
        <f t="shared" si="3"/>
        <v/>
      </c>
      <c r="AJ25" s="59">
        <f t="shared" si="4"/>
        <v>-0.30417450506136345</v>
      </c>
      <c r="AK25" s="59">
        <f t="shared" si="5"/>
        <v>-1</v>
      </c>
      <c r="AL25" s="60" t="str">
        <f t="shared" si="28"/>
        <v/>
      </c>
      <c r="AM25" s="65">
        <f t="shared" si="29"/>
        <v>-3.6100361486390453E-2</v>
      </c>
      <c r="AO25" s="58"/>
      <c r="AP25" s="59">
        <f t="shared" si="30"/>
        <v>-0.20951464330094227</v>
      </c>
      <c r="AQ25" s="59">
        <f t="shared" si="6"/>
        <v>-0.2999766326293275</v>
      </c>
      <c r="AR25" s="59">
        <f t="shared" si="7"/>
        <v>2.2473542908292985</v>
      </c>
      <c r="AS25" s="59">
        <f t="shared" si="8"/>
        <v>-1</v>
      </c>
      <c r="AT25" s="59">
        <f t="shared" si="9"/>
        <v>0</v>
      </c>
      <c r="AU25" s="59">
        <f t="shared" si="10"/>
        <v>0</v>
      </c>
      <c r="AV25" s="59">
        <f t="shared" si="11"/>
        <v>0</v>
      </c>
      <c r="AW25" s="59">
        <f t="shared" si="12"/>
        <v>-0.34163544806638602</v>
      </c>
      <c r="AX25" s="59">
        <f t="shared" si="13"/>
        <v>-1</v>
      </c>
      <c r="AY25" s="60">
        <f t="shared" si="14"/>
        <v>0</v>
      </c>
      <c r="AZ25" s="65">
        <f t="shared" si="31"/>
        <v>-6.0377243316735739E-2</v>
      </c>
    </row>
    <row r="26" spans="1:52" ht="25.5">
      <c r="A26" s="509" t="s">
        <v>22</v>
      </c>
      <c r="B26" s="495">
        <v>2836111</v>
      </c>
      <c r="C26" s="496">
        <v>3046782</v>
      </c>
      <c r="D26" s="463">
        <v>3332458</v>
      </c>
      <c r="E26" s="496">
        <v>3484202</v>
      </c>
      <c r="F26" s="496">
        <v>3588314</v>
      </c>
      <c r="G26" s="496">
        <v>3466020</v>
      </c>
      <c r="H26" s="496">
        <v>3464938</v>
      </c>
      <c r="I26" s="496">
        <v>3888135</v>
      </c>
      <c r="J26" s="496">
        <v>4076086</v>
      </c>
      <c r="K26" s="496">
        <v>3946761</v>
      </c>
      <c r="L26" s="497">
        <v>4503112</v>
      </c>
      <c r="M26" s="463"/>
      <c r="O26" s="58">
        <f t="shared" si="15"/>
        <v>0.98621577459244558</v>
      </c>
      <c r="P26" s="59">
        <f t="shared" si="16"/>
        <v>0.98553230800880731</v>
      </c>
      <c r="Q26" s="59">
        <f t="shared" si="17"/>
        <v>0.98874316920434913</v>
      </c>
      <c r="R26" s="59">
        <f t="shared" si="18"/>
        <v>0.98888786082806324</v>
      </c>
      <c r="S26" s="59">
        <f t="shared" si="19"/>
        <v>0.97489485070715798</v>
      </c>
      <c r="T26" s="59">
        <f t="shared" si="20"/>
        <v>0.93504395571489041</v>
      </c>
      <c r="U26" s="59">
        <f t="shared" si="21"/>
        <v>0.93047145804935316</v>
      </c>
      <c r="V26" s="59">
        <f t="shared" si="22"/>
        <v>0.94061281409825148</v>
      </c>
      <c r="W26" s="59">
        <f t="shared" si="23"/>
        <v>0.94113721888274871</v>
      </c>
      <c r="X26" s="59">
        <f t="shared" si="24"/>
        <v>0.92457000908696285</v>
      </c>
      <c r="Y26" s="60">
        <f t="shared" si="25"/>
        <v>0.93441650740687709</v>
      </c>
      <c r="Z26" s="65">
        <f t="shared" si="26"/>
        <v>0.95732053877999168</v>
      </c>
      <c r="AB26" s="68"/>
      <c r="AC26" s="59">
        <f t="shared" si="27"/>
        <v>7.4281648355794205E-2</v>
      </c>
      <c r="AD26" s="59">
        <f t="shared" si="27"/>
        <v>9.3763190146193498E-2</v>
      </c>
      <c r="AE26" s="59">
        <f t="shared" si="27"/>
        <v>4.553515753236792E-2</v>
      </c>
      <c r="AF26" s="59">
        <f t="shared" si="27"/>
        <v>2.9881160736375145E-2</v>
      </c>
      <c r="AG26" s="59">
        <f t="shared" si="1"/>
        <v>-3.4081186874950209E-2</v>
      </c>
      <c r="AH26" s="59">
        <f t="shared" si="2"/>
        <v>-3.1217361700164314E-4</v>
      </c>
      <c r="AI26" s="59">
        <f t="shared" si="3"/>
        <v>0.12213696175804589</v>
      </c>
      <c r="AJ26" s="59">
        <f t="shared" si="4"/>
        <v>4.8339628125052325E-2</v>
      </c>
      <c r="AK26" s="59">
        <f t="shared" si="5"/>
        <v>-3.1727740778776492E-2</v>
      </c>
      <c r="AL26" s="60">
        <f t="shared" si="28"/>
        <v>0.14096394486516917</v>
      </c>
      <c r="AM26" s="65">
        <f t="shared" si="29"/>
        <v>4.8878059024826982E-2</v>
      </c>
      <c r="AO26" s="58"/>
      <c r="AP26" s="59">
        <f t="shared" si="30"/>
        <v>-1.2154806109614391E-2</v>
      </c>
      <c r="AQ26" s="59">
        <f t="shared" si="6"/>
        <v>1.6036405152060729E-2</v>
      </c>
      <c r="AR26" s="59">
        <f t="shared" si="7"/>
        <v>-2.2773009129481436E-2</v>
      </c>
      <c r="AS26" s="59">
        <f t="shared" si="8"/>
        <v>-3.2884626973072373E-2</v>
      </c>
      <c r="AT26" s="59">
        <f t="shared" si="9"/>
        <v>-8.4415644227528341E-2</v>
      </c>
      <c r="AU26" s="59">
        <f t="shared" si="10"/>
        <v>-4.6577733665698617E-2</v>
      </c>
      <c r="AV26" s="59">
        <f t="shared" si="11"/>
        <v>7.4020828635189551E-2</v>
      </c>
      <c r="AW26" s="59">
        <f t="shared" si="12"/>
        <v>-8.0995097690865769E-3</v>
      </c>
      <c r="AX26" s="59">
        <f t="shared" si="13"/>
        <v>-0.10070376221675159</v>
      </c>
      <c r="AY26" s="60">
        <f t="shared" si="14"/>
        <v>0.11859210280898935</v>
      </c>
      <c r="AZ26" s="65">
        <f t="shared" si="31"/>
        <v>-9.8959755494993692E-3</v>
      </c>
    </row>
    <row r="27" spans="1:52" ht="38.25">
      <c r="A27" s="509" t="s">
        <v>23</v>
      </c>
      <c r="B27" s="495">
        <v>39640</v>
      </c>
      <c r="C27" s="496">
        <v>44727</v>
      </c>
      <c r="D27" s="463">
        <v>37940</v>
      </c>
      <c r="E27" s="496">
        <v>39152</v>
      </c>
      <c r="F27" s="496">
        <v>71853</v>
      </c>
      <c r="G27" s="496">
        <v>216584</v>
      </c>
      <c r="H27" s="496">
        <v>239297</v>
      </c>
      <c r="I27" s="496">
        <v>245484</v>
      </c>
      <c r="J27" s="496">
        <v>254936</v>
      </c>
      <c r="K27" s="496">
        <v>297904</v>
      </c>
      <c r="L27" s="497">
        <v>295941</v>
      </c>
      <c r="M27" s="463"/>
      <c r="O27" s="58">
        <f t="shared" si="15"/>
        <v>1.3784225407554409E-2</v>
      </c>
      <c r="P27" s="59">
        <f t="shared" si="16"/>
        <v>1.446769199119265E-2</v>
      </c>
      <c r="Q27" s="59">
        <f t="shared" si="17"/>
        <v>1.1256830795650839E-2</v>
      </c>
      <c r="R27" s="59">
        <f t="shared" si="18"/>
        <v>1.1112139171936739E-2</v>
      </c>
      <c r="S27" s="59">
        <f t="shared" si="19"/>
        <v>1.9521457628251436E-2</v>
      </c>
      <c r="T27" s="59">
        <f t="shared" si="20"/>
        <v>5.8428849257809772E-2</v>
      </c>
      <c r="U27" s="59">
        <f t="shared" si="21"/>
        <v>6.4260609712738309E-2</v>
      </c>
      <c r="V27" s="59">
        <f t="shared" si="22"/>
        <v>5.9387185901748567E-2</v>
      </c>
      <c r="W27" s="59">
        <f t="shared" si="23"/>
        <v>5.8862781117251309E-2</v>
      </c>
      <c r="X27" s="59">
        <f t="shared" si="24"/>
        <v>6.9787125186207777E-2</v>
      </c>
      <c r="Y27" s="60">
        <f t="shared" si="25"/>
        <v>6.1409122317743509E-2</v>
      </c>
      <c r="Z27" s="65">
        <f t="shared" si="26"/>
        <v>4.0207092589825938E-2</v>
      </c>
      <c r="AB27" s="68"/>
      <c r="AC27" s="59">
        <f t="shared" si="27"/>
        <v>0.12832996972754795</v>
      </c>
      <c r="AD27" s="59">
        <f t="shared" si="27"/>
        <v>-0.1517427951796454</v>
      </c>
      <c r="AE27" s="59">
        <f t="shared" si="27"/>
        <v>3.1945176594623037E-2</v>
      </c>
      <c r="AF27" s="59">
        <f t="shared" si="27"/>
        <v>0.83523191663261143</v>
      </c>
      <c r="AG27" s="59">
        <f t="shared" si="1"/>
        <v>2.014265235967879</v>
      </c>
      <c r="AH27" s="59">
        <f t="shared" si="2"/>
        <v>0.10486924241864592</v>
      </c>
      <c r="AI27" s="59">
        <f t="shared" si="3"/>
        <v>2.5854899977851842E-2</v>
      </c>
      <c r="AJ27" s="59">
        <f t="shared" si="4"/>
        <v>3.8503527724821129E-2</v>
      </c>
      <c r="AK27" s="59">
        <f t="shared" si="5"/>
        <v>0.16854426208930873</v>
      </c>
      <c r="AL27" s="60">
        <f t="shared" si="28"/>
        <v>-6.5893710725603016E-3</v>
      </c>
      <c r="AM27" s="65">
        <f t="shared" si="29"/>
        <v>0.31892120648810829</v>
      </c>
      <c r="AO27" s="58"/>
      <c r="AP27" s="59">
        <f t="shared" si="30"/>
        <v>3.754479974946956E-2</v>
      </c>
      <c r="AQ27" s="59">
        <f t="shared" si="6"/>
        <v>-0.21202303314412019</v>
      </c>
      <c r="AR27" s="59">
        <f t="shared" si="7"/>
        <v>-3.5475113006240844E-2</v>
      </c>
      <c r="AS27" s="59">
        <f t="shared" si="8"/>
        <v>0.72338427705194053</v>
      </c>
      <c r="AT27" s="59">
        <f t="shared" si="9"/>
        <v>1.8571905388944079</v>
      </c>
      <c r="AU27" s="59">
        <f t="shared" si="10"/>
        <v>5.373588565263665E-2</v>
      </c>
      <c r="AV27" s="59">
        <f t="shared" si="11"/>
        <v>-1.8132752701137123E-2</v>
      </c>
      <c r="AW27" s="59">
        <f t="shared" si="12"/>
        <v>-1.7406067059493657E-2</v>
      </c>
      <c r="AX27" s="59">
        <f t="shared" si="13"/>
        <v>8.5301627277151182E-2</v>
      </c>
      <c r="AY27" s="60">
        <f t="shared" si="14"/>
        <v>-2.6068010855451296E-2</v>
      </c>
      <c r="AZ27" s="65">
        <f t="shared" si="31"/>
        <v>0.2448052151859163</v>
      </c>
    </row>
    <row r="28" spans="1:52" ht="38.25">
      <c r="A28" s="509" t="s">
        <v>24</v>
      </c>
      <c r="B28" s="503"/>
      <c r="C28" s="501"/>
      <c r="D28" s="463">
        <v>0</v>
      </c>
      <c r="E28" s="501"/>
      <c r="F28" s="496">
        <v>20552</v>
      </c>
      <c r="G28" s="496">
        <v>24195</v>
      </c>
      <c r="H28" s="496">
        <v>19617</v>
      </c>
      <c r="I28" s="501"/>
      <c r="J28" s="501"/>
      <c r="K28" s="496">
        <v>24088</v>
      </c>
      <c r="L28" s="497">
        <v>20117</v>
      </c>
      <c r="M28" s="463"/>
      <c r="O28" s="58">
        <f t="shared" si="15"/>
        <v>0</v>
      </c>
      <c r="P28" s="59">
        <f t="shared" si="16"/>
        <v>0</v>
      </c>
      <c r="Q28" s="59">
        <f t="shared" si="17"/>
        <v>0</v>
      </c>
      <c r="R28" s="59">
        <f t="shared" si="18"/>
        <v>0</v>
      </c>
      <c r="S28" s="59">
        <f t="shared" si="19"/>
        <v>5.5836916645905328E-3</v>
      </c>
      <c r="T28" s="59">
        <f t="shared" si="20"/>
        <v>6.5271950272998347E-3</v>
      </c>
      <c r="U28" s="59">
        <f t="shared" si="21"/>
        <v>5.2679322379084884E-3</v>
      </c>
      <c r="V28" s="59">
        <f t="shared" si="22"/>
        <v>0</v>
      </c>
      <c r="W28" s="59">
        <f t="shared" si="23"/>
        <v>0</v>
      </c>
      <c r="X28" s="59">
        <f t="shared" si="24"/>
        <v>5.6428657268293575E-3</v>
      </c>
      <c r="Y28" s="60">
        <f t="shared" si="25"/>
        <v>4.1743702753793705E-3</v>
      </c>
      <c r="Z28" s="65">
        <f t="shared" si="26"/>
        <v>2.4723686301825077E-3</v>
      </c>
      <c r="AB28" s="68"/>
      <c r="AC28" s="59" t="str">
        <f t="shared" si="27"/>
        <v/>
      </c>
      <c r="AD28" s="59" t="str">
        <f t="shared" si="27"/>
        <v/>
      </c>
      <c r="AE28" s="59" t="str">
        <f t="shared" si="27"/>
        <v/>
      </c>
      <c r="AF28" s="59" t="str">
        <f t="shared" si="27"/>
        <v/>
      </c>
      <c r="AG28" s="59">
        <f t="shared" si="1"/>
        <v>0.17725768781627083</v>
      </c>
      <c r="AH28" s="59">
        <f t="shared" si="2"/>
        <v>-0.18921264724116549</v>
      </c>
      <c r="AI28" s="59">
        <f t="shared" si="3"/>
        <v>-1</v>
      </c>
      <c r="AJ28" s="59" t="str">
        <f t="shared" si="4"/>
        <v/>
      </c>
      <c r="AK28" s="59" t="str">
        <f t="shared" si="5"/>
        <v/>
      </c>
      <c r="AL28" s="60">
        <f t="shared" si="28"/>
        <v>-0.16485386914646294</v>
      </c>
      <c r="AM28" s="65">
        <f t="shared" si="29"/>
        <v>-0.2942022071428394</v>
      </c>
      <c r="AO28" s="58"/>
      <c r="AP28" s="59">
        <f t="shared" si="30"/>
        <v>0</v>
      </c>
      <c r="AQ28" s="59">
        <f t="shared" si="6"/>
        <v>0</v>
      </c>
      <c r="AR28" s="59">
        <f t="shared" si="7"/>
        <v>0</v>
      </c>
      <c r="AS28" s="59">
        <f t="shared" si="8"/>
        <v>0</v>
      </c>
      <c r="AT28" s="59">
        <f t="shared" si="9"/>
        <v>0.11591026805883908</v>
      </c>
      <c r="AU28" s="59">
        <f t="shared" si="10"/>
        <v>-0.22673589196398014</v>
      </c>
      <c r="AV28" s="59">
        <f t="shared" si="11"/>
        <v>-1</v>
      </c>
      <c r="AW28" s="59">
        <f t="shared" si="12"/>
        <v>0</v>
      </c>
      <c r="AX28" s="59">
        <f t="shared" si="13"/>
        <v>0</v>
      </c>
      <c r="AY28" s="60">
        <f t="shared" si="14"/>
        <v>-0.18122928347692446</v>
      </c>
      <c r="AZ28" s="65">
        <f t="shared" si="31"/>
        <v>-0.12920549073820656</v>
      </c>
    </row>
    <row r="29" spans="1:52" ht="25.5">
      <c r="A29" s="509" t="s">
        <v>25</v>
      </c>
      <c r="B29" s="503"/>
      <c r="C29" s="501"/>
      <c r="D29" s="463">
        <v>0</v>
      </c>
      <c r="E29" s="501"/>
      <c r="F29" s="496">
        <v>20552</v>
      </c>
      <c r="G29" s="496">
        <v>24195</v>
      </c>
      <c r="H29" s="496">
        <v>19617</v>
      </c>
      <c r="I29" s="501"/>
      <c r="J29" s="501"/>
      <c r="K29" s="496">
        <v>24088</v>
      </c>
      <c r="L29" s="497">
        <v>20117</v>
      </c>
      <c r="M29" s="463"/>
      <c r="O29" s="58">
        <f t="shared" si="15"/>
        <v>0</v>
      </c>
      <c r="P29" s="59">
        <f t="shared" si="16"/>
        <v>0</v>
      </c>
      <c r="Q29" s="59">
        <f t="shared" si="17"/>
        <v>0</v>
      </c>
      <c r="R29" s="59">
        <f t="shared" si="18"/>
        <v>0</v>
      </c>
      <c r="S29" s="59">
        <f t="shared" si="19"/>
        <v>5.5836916645905328E-3</v>
      </c>
      <c r="T29" s="59">
        <f t="shared" si="20"/>
        <v>6.5271950272998347E-3</v>
      </c>
      <c r="U29" s="59">
        <f t="shared" si="21"/>
        <v>5.2679322379084884E-3</v>
      </c>
      <c r="V29" s="59">
        <f t="shared" si="22"/>
        <v>0</v>
      </c>
      <c r="W29" s="59">
        <f t="shared" si="23"/>
        <v>0</v>
      </c>
      <c r="X29" s="59">
        <f t="shared" si="24"/>
        <v>5.6428657268293575E-3</v>
      </c>
      <c r="Y29" s="60">
        <f t="shared" si="25"/>
        <v>4.1743702753793705E-3</v>
      </c>
      <c r="Z29" s="65">
        <f t="shared" si="26"/>
        <v>2.4723686301825077E-3</v>
      </c>
      <c r="AB29" s="68"/>
      <c r="AC29" s="59" t="str">
        <f t="shared" si="27"/>
        <v/>
      </c>
      <c r="AD29" s="59" t="str">
        <f t="shared" si="27"/>
        <v/>
      </c>
      <c r="AE29" s="59" t="str">
        <f t="shared" si="27"/>
        <v/>
      </c>
      <c r="AF29" s="59" t="str">
        <f t="shared" si="27"/>
        <v/>
      </c>
      <c r="AG29" s="59">
        <f t="shared" si="1"/>
        <v>0.17725768781627083</v>
      </c>
      <c r="AH29" s="59">
        <f t="shared" si="2"/>
        <v>-0.18921264724116549</v>
      </c>
      <c r="AI29" s="59">
        <f t="shared" si="3"/>
        <v>-1</v>
      </c>
      <c r="AJ29" s="59" t="str">
        <f t="shared" si="4"/>
        <v/>
      </c>
      <c r="AK29" s="59" t="str">
        <f t="shared" si="5"/>
        <v/>
      </c>
      <c r="AL29" s="60">
        <f t="shared" si="28"/>
        <v>-0.16485386914646294</v>
      </c>
      <c r="AM29" s="65">
        <f t="shared" si="29"/>
        <v>-0.2942022071428394</v>
      </c>
      <c r="AO29" s="58"/>
      <c r="AP29" s="59">
        <f t="shared" si="30"/>
        <v>0</v>
      </c>
      <c r="AQ29" s="59">
        <f t="shared" si="6"/>
        <v>0</v>
      </c>
      <c r="AR29" s="59">
        <f t="shared" si="7"/>
        <v>0</v>
      </c>
      <c r="AS29" s="59">
        <f t="shared" si="8"/>
        <v>0</v>
      </c>
      <c r="AT29" s="59">
        <f t="shared" si="9"/>
        <v>0.11591026805883908</v>
      </c>
      <c r="AU29" s="59">
        <f t="shared" si="10"/>
        <v>-0.22673589196398014</v>
      </c>
      <c r="AV29" s="59">
        <f t="shared" si="11"/>
        <v>-1</v>
      </c>
      <c r="AW29" s="59">
        <f t="shared" si="12"/>
        <v>0</v>
      </c>
      <c r="AX29" s="59">
        <f t="shared" si="13"/>
        <v>0</v>
      </c>
      <c r="AY29" s="60">
        <f t="shared" si="14"/>
        <v>-0.18122928347692446</v>
      </c>
      <c r="AZ29" s="65">
        <f t="shared" si="31"/>
        <v>-0.12920549073820656</v>
      </c>
    </row>
    <row r="30" spans="1:52" ht="25.5">
      <c r="A30" s="509" t="s">
        <v>26</v>
      </c>
      <c r="B30" s="495">
        <v>39640</v>
      </c>
      <c r="C30" s="496">
        <v>44727</v>
      </c>
      <c r="D30" s="463">
        <v>37940</v>
      </c>
      <c r="E30" s="496">
        <v>39152</v>
      </c>
      <c r="F30" s="496">
        <v>92405</v>
      </c>
      <c r="G30" s="496">
        <v>240779</v>
      </c>
      <c r="H30" s="496">
        <v>258914</v>
      </c>
      <c r="I30" s="496">
        <v>245484</v>
      </c>
      <c r="J30" s="496">
        <v>254936</v>
      </c>
      <c r="K30" s="496">
        <v>321992</v>
      </c>
      <c r="L30" s="497">
        <v>316058</v>
      </c>
      <c r="M30" s="463"/>
      <c r="O30" s="58">
        <f t="shared" si="15"/>
        <v>1.3784225407554409E-2</v>
      </c>
      <c r="P30" s="59">
        <f t="shared" si="16"/>
        <v>1.446769199119265E-2</v>
      </c>
      <c r="Q30" s="59">
        <f t="shared" si="17"/>
        <v>1.1256830795650839E-2</v>
      </c>
      <c r="R30" s="59">
        <f t="shared" si="18"/>
        <v>1.1112139171936739E-2</v>
      </c>
      <c r="S30" s="59">
        <f t="shared" si="19"/>
        <v>2.510514929284197E-2</v>
      </c>
      <c r="T30" s="59">
        <f t="shared" si="20"/>
        <v>6.4956044285109607E-2</v>
      </c>
      <c r="U30" s="59">
        <f t="shared" si="21"/>
        <v>6.9528541950646797E-2</v>
      </c>
      <c r="V30" s="59">
        <f t="shared" si="22"/>
        <v>5.9387185901748567E-2</v>
      </c>
      <c r="W30" s="59">
        <f t="shared" si="23"/>
        <v>5.8862781117251309E-2</v>
      </c>
      <c r="X30" s="59">
        <f t="shared" si="24"/>
        <v>7.5429990913037134E-2</v>
      </c>
      <c r="Y30" s="60">
        <f t="shared" si="25"/>
        <v>6.5583492593122877E-2</v>
      </c>
      <c r="Z30" s="65">
        <f t="shared" si="26"/>
        <v>4.2679461220008437E-2</v>
      </c>
      <c r="AB30" s="68"/>
      <c r="AC30" s="59">
        <f t="shared" si="27"/>
        <v>0.12832996972754795</v>
      </c>
      <c r="AD30" s="59">
        <f t="shared" si="27"/>
        <v>-0.1517427951796454</v>
      </c>
      <c r="AE30" s="59">
        <f t="shared" si="27"/>
        <v>3.1945176594623037E-2</v>
      </c>
      <c r="AF30" s="59">
        <f t="shared" si="27"/>
        <v>1.3601604004903964</v>
      </c>
      <c r="AG30" s="59">
        <f t="shared" si="1"/>
        <v>1.6056923326659813</v>
      </c>
      <c r="AH30" s="59">
        <f t="shared" si="2"/>
        <v>7.5318030226888544E-2</v>
      </c>
      <c r="AI30" s="59">
        <f t="shared" si="3"/>
        <v>-5.1870505264296263E-2</v>
      </c>
      <c r="AJ30" s="59">
        <f t="shared" si="4"/>
        <v>3.8503527724821129E-2</v>
      </c>
      <c r="AK30" s="59">
        <f t="shared" si="5"/>
        <v>0.26303072143596817</v>
      </c>
      <c r="AL30" s="60">
        <f t="shared" si="28"/>
        <v>-1.8429029292653221E-2</v>
      </c>
      <c r="AM30" s="65">
        <f t="shared" si="29"/>
        <v>0.32809378291296315</v>
      </c>
      <c r="AO30" s="58"/>
      <c r="AP30" s="59">
        <f t="shared" si="30"/>
        <v>3.754479974946956E-2</v>
      </c>
      <c r="AQ30" s="59">
        <f t="shared" si="6"/>
        <v>-0.21202303314412019</v>
      </c>
      <c r="AR30" s="59">
        <f t="shared" si="7"/>
        <v>-3.5475113006240844E-2</v>
      </c>
      <c r="AS30" s="59">
        <f t="shared" si="8"/>
        <v>1.2163211573766519</v>
      </c>
      <c r="AT30" s="59">
        <f t="shared" si="9"/>
        <v>1.469908550623074</v>
      </c>
      <c r="AU30" s="59">
        <f t="shared" si="10"/>
        <v>2.5552303781152697E-2</v>
      </c>
      <c r="AV30" s="59">
        <f t="shared" si="11"/>
        <v>-9.2525368744540759E-2</v>
      </c>
      <c r="AW30" s="59">
        <f t="shared" si="12"/>
        <v>-1.7406067059493657E-2</v>
      </c>
      <c r="AX30" s="59">
        <f t="shared" si="13"/>
        <v>0.17305723175997789</v>
      </c>
      <c r="AY30" s="60">
        <f t="shared" si="14"/>
        <v>-3.7675518914365935E-2</v>
      </c>
      <c r="AZ30" s="65">
        <f t="shared" si="31"/>
        <v>0.25272789424215647</v>
      </c>
    </row>
    <row r="31" spans="1:52">
      <c r="A31" s="509" t="s">
        <v>27</v>
      </c>
      <c r="B31" s="495">
        <v>2875751</v>
      </c>
      <c r="C31" s="496">
        <v>3091509</v>
      </c>
      <c r="D31" s="463">
        <v>3370398</v>
      </c>
      <c r="E31" s="496">
        <v>3523354</v>
      </c>
      <c r="F31" s="496">
        <v>3680719</v>
      </c>
      <c r="G31" s="496">
        <v>3706799</v>
      </c>
      <c r="H31" s="496">
        <v>3723852</v>
      </c>
      <c r="I31" s="496">
        <v>4133619</v>
      </c>
      <c r="J31" s="496">
        <v>4331022</v>
      </c>
      <c r="K31" s="496">
        <v>4268753</v>
      </c>
      <c r="L31" s="497">
        <v>4819170</v>
      </c>
      <c r="M31" s="463"/>
      <c r="O31" s="58">
        <f t="shared" si="15"/>
        <v>1</v>
      </c>
      <c r="P31" s="59">
        <f t="shared" si="16"/>
        <v>1</v>
      </c>
      <c r="Q31" s="59">
        <f t="shared" si="17"/>
        <v>1</v>
      </c>
      <c r="R31" s="59">
        <f t="shared" si="18"/>
        <v>1</v>
      </c>
      <c r="S31" s="59">
        <f t="shared" si="19"/>
        <v>1</v>
      </c>
      <c r="T31" s="59">
        <f t="shared" si="20"/>
        <v>1</v>
      </c>
      <c r="U31" s="59">
        <f t="shared" si="21"/>
        <v>1</v>
      </c>
      <c r="V31" s="59">
        <f t="shared" si="22"/>
        <v>1</v>
      </c>
      <c r="W31" s="59">
        <f t="shared" si="23"/>
        <v>1</v>
      </c>
      <c r="X31" s="59">
        <f t="shared" si="24"/>
        <v>1</v>
      </c>
      <c r="Y31" s="60">
        <f t="shared" si="25"/>
        <v>1</v>
      </c>
      <c r="Z31" s="65">
        <f t="shared" si="26"/>
        <v>1</v>
      </c>
      <c r="AB31" s="68"/>
      <c r="AC31" s="59">
        <f t="shared" si="27"/>
        <v>7.5026662600482519E-2</v>
      </c>
      <c r="AD31" s="59">
        <f t="shared" si="27"/>
        <v>9.0211285168505073E-2</v>
      </c>
      <c r="AE31" s="59">
        <f t="shared" si="27"/>
        <v>4.5382177416435576E-2</v>
      </c>
      <c r="AF31" s="59">
        <f t="shared" si="27"/>
        <v>4.466340878606001E-2</v>
      </c>
      <c r="AG31" s="59">
        <f t="shared" si="1"/>
        <v>7.0855721395737259E-3</v>
      </c>
      <c r="AH31" s="59">
        <f t="shared" si="2"/>
        <v>4.6004652531739243E-3</v>
      </c>
      <c r="AI31" s="59">
        <f t="shared" si="3"/>
        <v>0.11003847628745711</v>
      </c>
      <c r="AJ31" s="59">
        <f t="shared" si="4"/>
        <v>4.7755489802035367E-2</v>
      </c>
      <c r="AK31" s="59">
        <f t="shared" si="5"/>
        <v>-1.437743793497237E-2</v>
      </c>
      <c r="AL31" s="60">
        <f t="shared" si="28"/>
        <v>0.1289409342728427</v>
      </c>
      <c r="AM31" s="65">
        <f t="shared" si="29"/>
        <v>5.3932703379159362E-2</v>
      </c>
      <c r="AO31" s="58"/>
      <c r="AP31" s="59">
        <f t="shared" si="30"/>
        <v>-1.1469735539786141E-2</v>
      </c>
      <c r="AQ31" s="59">
        <f t="shared" si="6"/>
        <v>1.2736911443107291E-2</v>
      </c>
      <c r="AR31" s="59">
        <f t="shared" si="7"/>
        <v>-2.2915994563570852E-2</v>
      </c>
      <c r="AS31" s="59">
        <f t="shared" si="8"/>
        <v>-1.9003278442989879E-2</v>
      </c>
      <c r="AT31" s="59">
        <f t="shared" si="9"/>
        <v>-4.5394103266327646E-2</v>
      </c>
      <c r="AU31" s="59">
        <f t="shared" si="10"/>
        <v>-4.1892451759014349E-2</v>
      </c>
      <c r="AV31" s="59">
        <f t="shared" si="11"/>
        <v>6.2441114363952055E-2</v>
      </c>
      <c r="AW31" s="59">
        <f t="shared" si="12"/>
        <v>-8.6522000169974023E-3</v>
      </c>
      <c r="AX31" s="59">
        <f t="shared" si="13"/>
        <v>-8.4589428749858198E-2</v>
      </c>
      <c r="AY31" s="60">
        <f t="shared" si="14"/>
        <v>0.10680483752239489</v>
      </c>
      <c r="AZ31" s="65">
        <f t="shared" si="31"/>
        <v>-5.1934329009090232E-3</v>
      </c>
    </row>
    <row r="32" spans="1:52" ht="51">
      <c r="A32" s="509" t="s">
        <v>28</v>
      </c>
      <c r="B32" s="495">
        <v>112005</v>
      </c>
      <c r="C32" s="496">
        <v>207630</v>
      </c>
      <c r="D32" s="463">
        <v>136903</v>
      </c>
      <c r="E32" s="496">
        <v>63620</v>
      </c>
      <c r="F32" s="496">
        <v>295997</v>
      </c>
      <c r="G32" s="496">
        <v>327943</v>
      </c>
      <c r="H32" s="496">
        <v>103333</v>
      </c>
      <c r="I32" s="496">
        <v>15000</v>
      </c>
      <c r="J32" s="496">
        <v>108333</v>
      </c>
      <c r="K32" s="496">
        <v>9496</v>
      </c>
      <c r="L32" s="497">
        <v>102083</v>
      </c>
      <c r="M32" s="463"/>
      <c r="O32" s="58">
        <f t="shared" si="15"/>
        <v>3.8948086951895347E-2</v>
      </c>
      <c r="P32" s="59">
        <f t="shared" si="16"/>
        <v>6.7161376531654923E-2</v>
      </c>
      <c r="Q32" s="59">
        <f t="shared" si="17"/>
        <v>4.0619238440089273E-2</v>
      </c>
      <c r="R32" s="59">
        <f t="shared" si="18"/>
        <v>1.8056658513450535E-2</v>
      </c>
      <c r="S32" s="59">
        <f t="shared" si="19"/>
        <v>8.0418255237631561E-2</v>
      </c>
      <c r="T32" s="59">
        <f t="shared" si="20"/>
        <v>8.8470672404951003E-2</v>
      </c>
      <c r="U32" s="59">
        <f t="shared" si="21"/>
        <v>2.7748954577142163E-2</v>
      </c>
      <c r="V32" s="59">
        <f t="shared" si="22"/>
        <v>3.6287814624424747E-3</v>
      </c>
      <c r="W32" s="59">
        <f t="shared" si="23"/>
        <v>2.5013264767530619E-2</v>
      </c>
      <c r="X32" s="59">
        <f t="shared" si="24"/>
        <v>2.224537236049966E-3</v>
      </c>
      <c r="Y32" s="60">
        <f t="shared" si="25"/>
        <v>2.1182693285358267E-2</v>
      </c>
      <c r="Z32" s="65">
        <f t="shared" si="26"/>
        <v>3.7588410855290563E-2</v>
      </c>
      <c r="AB32" s="68"/>
      <c r="AC32" s="59">
        <f t="shared" si="27"/>
        <v>0.85375652872639618</v>
      </c>
      <c r="AD32" s="59">
        <f t="shared" si="27"/>
        <v>-0.34063959928719356</v>
      </c>
      <c r="AE32" s="59">
        <f t="shared" si="27"/>
        <v>-0.53529141070685082</v>
      </c>
      <c r="AF32" s="59">
        <f t="shared" si="27"/>
        <v>3.6525778057214708</v>
      </c>
      <c r="AG32" s="59">
        <f t="shared" si="1"/>
        <v>0.10792676952806946</v>
      </c>
      <c r="AH32" s="59">
        <f t="shared" si="2"/>
        <v>-0.68490560859661587</v>
      </c>
      <c r="AI32" s="59">
        <f t="shared" si="3"/>
        <v>-0.85483824141368192</v>
      </c>
      <c r="AJ32" s="59">
        <f t="shared" si="4"/>
        <v>6.2222</v>
      </c>
      <c r="AK32" s="59">
        <f t="shared" si="5"/>
        <v>-0.91234434567490974</v>
      </c>
      <c r="AL32" s="60">
        <f t="shared" si="28"/>
        <v>9.7501053074978934</v>
      </c>
      <c r="AM32" s="65">
        <f t="shared" si="29"/>
        <v>1.7258547205794579</v>
      </c>
      <c r="AO32" s="58"/>
      <c r="AP32" s="59">
        <f t="shared" si="30"/>
        <v>0.70460370457599653</v>
      </c>
      <c r="AQ32" s="59">
        <f t="shared" si="6"/>
        <v>-0.38749614425192158</v>
      </c>
      <c r="AR32" s="59">
        <f t="shared" si="7"/>
        <v>-0.56565231396097848</v>
      </c>
      <c r="AS32" s="59">
        <f t="shared" si="8"/>
        <v>3.3690278953154955</v>
      </c>
      <c r="AT32" s="59">
        <f t="shared" si="9"/>
        <v>5.0192214643309585E-2</v>
      </c>
      <c r="AU32" s="59">
        <f t="shared" si="10"/>
        <v>-0.6994881793769625</v>
      </c>
      <c r="AV32" s="59">
        <f t="shared" si="11"/>
        <v>-0.86106263535000183</v>
      </c>
      <c r="AW32" s="59">
        <f t="shared" si="12"/>
        <v>5.8333806414987226</v>
      </c>
      <c r="AX32" s="59">
        <f t="shared" si="13"/>
        <v>-0.91858860005099818</v>
      </c>
      <c r="AY32" s="60">
        <f t="shared" si="14"/>
        <v>9.5393189289195028</v>
      </c>
      <c r="AZ32" s="65">
        <f t="shared" si="31"/>
        <v>1.6064235511962164</v>
      </c>
    </row>
    <row r="33" spans="1:52" ht="25.5">
      <c r="A33" s="509" t="s">
        <v>29</v>
      </c>
      <c r="B33" s="495">
        <v>293294</v>
      </c>
      <c r="C33" s="496">
        <v>432595</v>
      </c>
      <c r="D33" s="463">
        <v>383499</v>
      </c>
      <c r="E33" s="496">
        <v>501987</v>
      </c>
      <c r="F33" s="496">
        <v>453616</v>
      </c>
      <c r="G33" s="496">
        <v>368214</v>
      </c>
      <c r="H33" s="496">
        <v>565726</v>
      </c>
      <c r="I33" s="496">
        <v>855200</v>
      </c>
      <c r="J33" s="496">
        <v>1032286</v>
      </c>
      <c r="K33" s="496">
        <v>1041868</v>
      </c>
      <c r="L33" s="497">
        <v>1436066</v>
      </c>
      <c r="M33" s="463"/>
      <c r="O33" s="58">
        <f t="shared" si="15"/>
        <v>0.10198866313529927</v>
      </c>
      <c r="P33" s="59">
        <f t="shared" si="16"/>
        <v>0.13993004710644544</v>
      </c>
      <c r="Q33" s="59">
        <f t="shared" si="17"/>
        <v>0.11378448479971802</v>
      </c>
      <c r="R33" s="59">
        <f t="shared" si="18"/>
        <v>0.14247418794705272</v>
      </c>
      <c r="S33" s="59">
        <f t="shared" si="19"/>
        <v>0.12324113848408422</v>
      </c>
      <c r="T33" s="59">
        <f t="shared" si="20"/>
        <v>9.9334762958552647E-2</v>
      </c>
      <c r="U33" s="59">
        <f t="shared" si="21"/>
        <v>0.15191957145450463</v>
      </c>
      <c r="V33" s="59">
        <f t="shared" si="22"/>
        <v>0.20688892711205362</v>
      </c>
      <c r="W33" s="59">
        <f t="shared" si="23"/>
        <v>0.23834697676437572</v>
      </c>
      <c r="X33" s="59">
        <f t="shared" si="24"/>
        <v>0.24406846683328831</v>
      </c>
      <c r="Y33" s="60">
        <f t="shared" si="25"/>
        <v>0.29799031783481389</v>
      </c>
      <c r="Z33" s="65">
        <f t="shared" si="26"/>
        <v>0.1690879585845626</v>
      </c>
      <c r="AB33" s="68"/>
      <c r="AC33" s="59">
        <f t="shared" si="27"/>
        <v>0.47495345966845548</v>
      </c>
      <c r="AD33" s="59">
        <f t="shared" si="27"/>
        <v>-0.1134918341635941</v>
      </c>
      <c r="AE33" s="59">
        <f t="shared" si="27"/>
        <v>0.30896560356089586</v>
      </c>
      <c r="AF33" s="59">
        <f t="shared" si="27"/>
        <v>-9.6359069059557267E-2</v>
      </c>
      <c r="AG33" s="59">
        <f t="shared" si="1"/>
        <v>-0.18826937321434867</v>
      </c>
      <c r="AH33" s="59">
        <f t="shared" si="2"/>
        <v>0.53640545986844601</v>
      </c>
      <c r="AI33" s="59">
        <f t="shared" si="3"/>
        <v>0.51168586913099268</v>
      </c>
      <c r="AJ33" s="59">
        <f t="shared" si="4"/>
        <v>0.20706969130028074</v>
      </c>
      <c r="AK33" s="59">
        <f t="shared" si="5"/>
        <v>9.2823112974504962E-3</v>
      </c>
      <c r="AL33" s="60">
        <f t="shared" si="28"/>
        <v>0.37835695116847812</v>
      </c>
      <c r="AM33" s="65">
        <f t="shared" si="29"/>
        <v>0.2028599069557499</v>
      </c>
      <c r="AO33" s="58"/>
      <c r="AP33" s="59">
        <f t="shared" si="30"/>
        <v>0.35627904337329253</v>
      </c>
      <c r="AQ33" s="59">
        <f t="shared" si="6"/>
        <v>-0.17649032435076095</v>
      </c>
      <c r="AR33" s="59">
        <f t="shared" si="7"/>
        <v>0.22344668058780792</v>
      </c>
      <c r="AS33" s="59">
        <f t="shared" si="8"/>
        <v>-0.15143118514372922</v>
      </c>
      <c r="AT33" s="59">
        <f t="shared" si="9"/>
        <v>-0.23056901585567513</v>
      </c>
      <c r="AU33" s="59">
        <f t="shared" si="10"/>
        <v>0.46530060374563442</v>
      </c>
      <c r="AV33" s="59">
        <f t="shared" si="11"/>
        <v>0.4468662606537066</v>
      </c>
      <c r="AW33" s="59">
        <f t="shared" si="12"/>
        <v>0.14208505185001497</v>
      </c>
      <c r="AX33" s="59">
        <f t="shared" si="13"/>
        <v>-6.2615109782250822E-2</v>
      </c>
      <c r="AY33" s="60">
        <f t="shared" si="14"/>
        <v>0.35133034428282173</v>
      </c>
      <c r="AZ33" s="65">
        <f t="shared" si="31"/>
        <v>0.13642023493608621</v>
      </c>
    </row>
    <row r="34" spans="1:52" ht="38.25">
      <c r="A34" s="509" t="s">
        <v>30</v>
      </c>
      <c r="B34" s="503">
        <v>666</v>
      </c>
      <c r="C34" s="501">
        <v>666</v>
      </c>
      <c r="D34" s="463">
        <v>27966</v>
      </c>
      <c r="E34" s="496">
        <v>27300</v>
      </c>
      <c r="F34" s="501"/>
      <c r="G34" s="501"/>
      <c r="H34" s="496">
        <v>20000</v>
      </c>
      <c r="I34" s="496">
        <v>12590</v>
      </c>
      <c r="J34" s="496">
        <v>12590</v>
      </c>
      <c r="K34" s="501"/>
      <c r="L34" s="502"/>
      <c r="M34" s="463"/>
      <c r="O34" s="58">
        <f t="shared" si="15"/>
        <v>2.3159167813903219E-4</v>
      </c>
      <c r="P34" s="59">
        <f t="shared" si="16"/>
        <v>2.154287760443201E-4</v>
      </c>
      <c r="Q34" s="59">
        <f t="shared" si="17"/>
        <v>8.2975363740424718E-3</v>
      </c>
      <c r="R34" s="59">
        <f t="shared" si="18"/>
        <v>7.7482989219930781E-3</v>
      </c>
      <c r="S34" s="59">
        <f t="shared" si="19"/>
        <v>0</v>
      </c>
      <c r="T34" s="59">
        <f t="shared" si="20"/>
        <v>0</v>
      </c>
      <c r="U34" s="59">
        <f t="shared" si="21"/>
        <v>5.3707827271330865E-3</v>
      </c>
      <c r="V34" s="59">
        <f t="shared" si="22"/>
        <v>3.0457572408100504E-3</v>
      </c>
      <c r="W34" s="59">
        <f t="shared" si="23"/>
        <v>2.9069351298608042E-3</v>
      </c>
      <c r="X34" s="59">
        <f t="shared" si="24"/>
        <v>0</v>
      </c>
      <c r="Y34" s="60">
        <f t="shared" si="25"/>
        <v>0</v>
      </c>
      <c r="Z34" s="65">
        <f t="shared" si="26"/>
        <v>2.5287573498202587E-3</v>
      </c>
      <c r="AB34" s="68"/>
      <c r="AC34" s="59">
        <f t="shared" si="27"/>
        <v>0</v>
      </c>
      <c r="AD34" s="59">
        <f t="shared" si="27"/>
        <v>40.990990990990994</v>
      </c>
      <c r="AE34" s="59">
        <f t="shared" si="27"/>
        <v>-2.3814632053207441E-2</v>
      </c>
      <c r="AF34" s="59">
        <f t="shared" si="27"/>
        <v>-1</v>
      </c>
      <c r="AG34" s="59" t="str">
        <f t="shared" si="1"/>
        <v/>
      </c>
      <c r="AH34" s="59" t="str">
        <f t="shared" si="2"/>
        <v/>
      </c>
      <c r="AI34" s="59">
        <f t="shared" si="3"/>
        <v>-0.37050000000000005</v>
      </c>
      <c r="AJ34" s="59">
        <f t="shared" si="4"/>
        <v>0</v>
      </c>
      <c r="AK34" s="59">
        <f t="shared" si="5"/>
        <v>-1</v>
      </c>
      <c r="AL34" s="60" t="str">
        <f t="shared" si="28"/>
        <v/>
      </c>
      <c r="AM34" s="65">
        <f t="shared" si="29"/>
        <v>5.5138109084196838</v>
      </c>
      <c r="AO34" s="58"/>
      <c r="AP34" s="59">
        <f t="shared" si="30"/>
        <v>-8.045977011494243E-2</v>
      </c>
      <c r="AQ34" s="59">
        <f t="shared" si="6"/>
        <v>38.006958653962833</v>
      </c>
      <c r="AR34" s="59">
        <f t="shared" si="7"/>
        <v>-8.7591954437991837E-2</v>
      </c>
      <c r="AS34" s="59">
        <f t="shared" si="8"/>
        <v>-1</v>
      </c>
      <c r="AT34" s="59">
        <f t="shared" si="9"/>
        <v>0</v>
      </c>
      <c r="AU34" s="59">
        <f t="shared" si="10"/>
        <v>0</v>
      </c>
      <c r="AV34" s="59">
        <f t="shared" si="11"/>
        <v>-0.3974923430321593</v>
      </c>
      <c r="AW34" s="59">
        <f t="shared" si="12"/>
        <v>-5.3836692213075965E-2</v>
      </c>
      <c r="AX34" s="59">
        <f t="shared" si="13"/>
        <v>-1</v>
      </c>
      <c r="AY34" s="60">
        <f t="shared" si="14"/>
        <v>0</v>
      </c>
      <c r="AZ34" s="65">
        <f t="shared" si="31"/>
        <v>3.5387577894164663</v>
      </c>
    </row>
    <row r="35" spans="1:52" ht="25.5">
      <c r="A35" s="509" t="s">
        <v>31</v>
      </c>
      <c r="B35" s="495">
        <v>6889</v>
      </c>
      <c r="C35" s="496">
        <v>11591</v>
      </c>
      <c r="D35" s="463">
        <v>5666</v>
      </c>
      <c r="E35" s="496">
        <v>5916</v>
      </c>
      <c r="F35" s="496">
        <v>5087</v>
      </c>
      <c r="G35" s="496">
        <v>3496</v>
      </c>
      <c r="H35" s="496">
        <v>1647</v>
      </c>
      <c r="I35" s="496">
        <v>4000</v>
      </c>
      <c r="J35" s="496">
        <v>4284</v>
      </c>
      <c r="K35" s="496">
        <v>4995</v>
      </c>
      <c r="L35" s="497">
        <v>6139</v>
      </c>
      <c r="M35" s="463"/>
      <c r="O35" s="58">
        <f t="shared" si="15"/>
        <v>2.3955481542038931E-3</v>
      </c>
      <c r="P35" s="59">
        <f t="shared" si="16"/>
        <v>3.7493017164109826E-3</v>
      </c>
      <c r="Q35" s="59">
        <f t="shared" si="17"/>
        <v>1.6811070977374185E-3</v>
      </c>
      <c r="R35" s="59">
        <f t="shared" si="18"/>
        <v>1.6790819202385E-3</v>
      </c>
      <c r="S35" s="59">
        <f t="shared" si="19"/>
        <v>1.3820669276845094E-3</v>
      </c>
      <c r="T35" s="59">
        <f t="shared" si="20"/>
        <v>9.4313179646374136E-4</v>
      </c>
      <c r="U35" s="59">
        <f t="shared" si="21"/>
        <v>4.4228395757940972E-4</v>
      </c>
      <c r="V35" s="59">
        <f t="shared" si="22"/>
        <v>9.6767505665132662E-4</v>
      </c>
      <c r="W35" s="59">
        <f t="shared" si="23"/>
        <v>9.8914297826240547E-4</v>
      </c>
      <c r="X35" s="59">
        <f t="shared" si="24"/>
        <v>1.1701309492491133E-3</v>
      </c>
      <c r="Y35" s="60">
        <f t="shared" si="25"/>
        <v>1.2738708117787918E-3</v>
      </c>
      <c r="Z35" s="65">
        <f t="shared" si="26"/>
        <v>1.5157583060236451E-3</v>
      </c>
      <c r="AB35" s="68"/>
      <c r="AC35" s="59">
        <f t="shared" si="27"/>
        <v>0.68253737842938023</v>
      </c>
      <c r="AD35" s="59">
        <f t="shared" si="27"/>
        <v>-0.51117246139245964</v>
      </c>
      <c r="AE35" s="59">
        <f t="shared" si="27"/>
        <v>4.4122837980938856E-2</v>
      </c>
      <c r="AF35" s="59">
        <f t="shared" si="27"/>
        <v>-0.1401284651791751</v>
      </c>
      <c r="AG35" s="59">
        <f t="shared" si="1"/>
        <v>-0.31275801061529385</v>
      </c>
      <c r="AH35" s="59">
        <f t="shared" si="2"/>
        <v>-0.52889016018306634</v>
      </c>
      <c r="AI35" s="59">
        <f t="shared" si="3"/>
        <v>1.4286581663630842</v>
      </c>
      <c r="AJ35" s="59">
        <f t="shared" si="4"/>
        <v>7.0999999999999952E-2</v>
      </c>
      <c r="AK35" s="59">
        <f t="shared" si="5"/>
        <v>0.16596638655462193</v>
      </c>
      <c r="AL35" s="60">
        <f t="shared" si="28"/>
        <v>0.22902902902902911</v>
      </c>
      <c r="AM35" s="65">
        <f t="shared" si="29"/>
        <v>0.11283647009870594</v>
      </c>
      <c r="AO35" s="58"/>
      <c r="AP35" s="59">
        <f t="shared" si="30"/>
        <v>0.54716080775115428</v>
      </c>
      <c r="AQ35" s="59">
        <f t="shared" si="6"/>
        <v>-0.5459103217765533</v>
      </c>
      <c r="AR35" s="59">
        <f t="shared" si="7"/>
        <v>-2.4093057312890243E-2</v>
      </c>
      <c r="AS35" s="59">
        <f t="shared" si="8"/>
        <v>-0.19253306900100953</v>
      </c>
      <c r="AT35" s="59">
        <f t="shared" si="9"/>
        <v>-0.34857049520048333</v>
      </c>
      <c r="AU35" s="59">
        <f t="shared" si="10"/>
        <v>-0.55069312707768558</v>
      </c>
      <c r="AV35" s="59">
        <f t="shared" si="11"/>
        <v>1.3245196844975924</v>
      </c>
      <c r="AW35" s="59">
        <f t="shared" si="12"/>
        <v>1.3340902639795704E-2</v>
      </c>
      <c r="AX35" s="59">
        <f t="shared" si="13"/>
        <v>8.2907389760027872E-2</v>
      </c>
      <c r="AY35" s="60">
        <f t="shared" si="14"/>
        <v>0.20493042061669509</v>
      </c>
      <c r="AZ35" s="65">
        <f t="shared" si="31"/>
        <v>5.1105913489664333E-2</v>
      </c>
    </row>
    <row r="36" spans="1:52" ht="38.25">
      <c r="A36" s="509" t="s">
        <v>32</v>
      </c>
      <c r="B36" s="495">
        <v>6870</v>
      </c>
      <c r="C36" s="496">
        <v>11194</v>
      </c>
      <c r="D36" s="463">
        <v>15620</v>
      </c>
      <c r="E36" s="496">
        <v>6623</v>
      </c>
      <c r="F36" s="496">
        <v>7353</v>
      </c>
      <c r="G36" s="496">
        <v>9140</v>
      </c>
      <c r="H36" s="496">
        <v>1407</v>
      </c>
      <c r="I36" s="496">
        <v>2333</v>
      </c>
      <c r="J36" s="496">
        <v>4278</v>
      </c>
      <c r="K36" s="496">
        <v>2429</v>
      </c>
      <c r="L36" s="497">
        <v>6643</v>
      </c>
      <c r="M36" s="463"/>
      <c r="O36" s="58">
        <f t="shared" si="15"/>
        <v>2.388941184407134E-3</v>
      </c>
      <c r="P36" s="59">
        <f t="shared" si="16"/>
        <v>3.6208854640242031E-3</v>
      </c>
      <c r="Q36" s="59">
        <f t="shared" si="17"/>
        <v>4.6344675020576209E-3</v>
      </c>
      <c r="R36" s="59">
        <f t="shared" si="18"/>
        <v>1.8797429948849873E-3</v>
      </c>
      <c r="S36" s="59">
        <f t="shared" si="19"/>
        <v>1.9977075131244739E-3</v>
      </c>
      <c r="T36" s="59">
        <f t="shared" si="20"/>
        <v>2.4657393076883854E-3</v>
      </c>
      <c r="U36" s="59">
        <f t="shared" si="21"/>
        <v>3.7783456485381266E-4</v>
      </c>
      <c r="V36" s="59">
        <f t="shared" si="22"/>
        <v>5.6439647679188624E-4</v>
      </c>
      <c r="W36" s="59">
        <f t="shared" si="23"/>
        <v>9.8775762395111356E-4</v>
      </c>
      <c r="X36" s="59">
        <f t="shared" si="24"/>
        <v>5.6901863377899827E-4</v>
      </c>
      <c r="Y36" s="60">
        <f t="shared" si="25"/>
        <v>1.3784531361209502E-3</v>
      </c>
      <c r="Z36" s="65">
        <f t="shared" si="26"/>
        <v>1.8968131274257787E-3</v>
      </c>
      <c r="AB36" s="68"/>
      <c r="AC36" s="59">
        <f t="shared" si="27"/>
        <v>0.62940320232896663</v>
      </c>
      <c r="AD36" s="59">
        <f t="shared" si="27"/>
        <v>0.39539038770770052</v>
      </c>
      <c r="AE36" s="59">
        <f t="shared" si="27"/>
        <v>-0.57599231754161329</v>
      </c>
      <c r="AF36" s="59">
        <f t="shared" si="27"/>
        <v>0.11022195379737276</v>
      </c>
      <c r="AG36" s="59">
        <f t="shared" si="1"/>
        <v>0.24303005575955394</v>
      </c>
      <c r="AH36" s="59">
        <f t="shared" si="2"/>
        <v>-0.84606126914660829</v>
      </c>
      <c r="AI36" s="59">
        <f t="shared" si="3"/>
        <v>0.65813788201847911</v>
      </c>
      <c r="AJ36" s="59">
        <f t="shared" si="4"/>
        <v>0.83369052721817405</v>
      </c>
      <c r="AK36" s="59">
        <f t="shared" si="5"/>
        <v>-0.43221131369798971</v>
      </c>
      <c r="AL36" s="60">
        <f t="shared" si="28"/>
        <v>1.7348703170028816</v>
      </c>
      <c r="AM36" s="65">
        <f t="shared" si="29"/>
        <v>0.27504794254469173</v>
      </c>
      <c r="AO36" s="58"/>
      <c r="AP36" s="59">
        <f t="shared" ref="AP36:AP70" si="32">IF(AC36="",,(((AC36+1)/($C$116+1))-1))</f>
        <v>0.49830179524502682</v>
      </c>
      <c r="AQ36" s="59">
        <f t="shared" ref="AQ36:AQ70" si="33">IF(AD36="",,(((AD36+1)/($D$116+1))-1))</f>
        <v>0.29622887850227642</v>
      </c>
      <c r="AR36" s="59">
        <f t="shared" ref="AR36:AR70" si="34">IF(AE36="",,(((AE36+1)/($E$116+1))-1))</f>
        <v>-0.60369409995477463</v>
      </c>
      <c r="AS36" s="59">
        <f t="shared" ref="AS36:AS70" si="35">IF(AF36="",,(((AF36+1)/($F$116+1))-1))</f>
        <v>4.2559821389212882E-2</v>
      </c>
      <c r="AT36" s="59">
        <f t="shared" ref="AT36:AT70" si="36">IF(AG36="",,(((AG36+1)/($G$116+1))-1))</f>
        <v>0.17825520876472489</v>
      </c>
      <c r="AU36" s="59">
        <f t="shared" ref="AU36:AU70" si="37">IF(AH36="",,(((AH36+1)/($H$116+1))-1))</f>
        <v>-0.85318555475673352</v>
      </c>
      <c r="AV36" s="59">
        <f t="shared" ref="AV36:AV70" si="38">IF(AI36="",,(((AI36+1)/($I$116+1))-1))</f>
        <v>0.58703855476500699</v>
      </c>
      <c r="AW36" s="59">
        <f t="shared" ref="AW36:AW70" si="39">IF(AJ36="",,(((AJ36+1)/($J$116+1))-1))</f>
        <v>0.7349706946902963</v>
      </c>
      <c r="AX36" s="59">
        <f t="shared" ref="AX36:AX70" si="40">IF(AK36="",,(((AK36+1)/($K$116+1))-1))</f>
        <v>-0.47265841339090708</v>
      </c>
      <c r="AY36" s="60">
        <f t="shared" ref="AY36:AY70" si="41">IF(AL36="",,(((AL36+1)/($L$116+1))-1))</f>
        <v>1.6812454088263546</v>
      </c>
      <c r="AZ36" s="65">
        <f t="shared" si="31"/>
        <v>0.20890622940804837</v>
      </c>
    </row>
    <row r="37" spans="1:52" ht="51">
      <c r="A37" s="509" t="s">
        <v>33</v>
      </c>
      <c r="B37" s="503">
        <v>534</v>
      </c>
      <c r="C37" s="501">
        <v>464</v>
      </c>
      <c r="D37" s="463">
        <v>576</v>
      </c>
      <c r="E37" s="501">
        <v>453</v>
      </c>
      <c r="F37" s="501">
        <v>527</v>
      </c>
      <c r="G37" s="501">
        <v>378</v>
      </c>
      <c r="H37" s="501">
        <v>380</v>
      </c>
      <c r="I37" s="501">
        <v>370</v>
      </c>
      <c r="J37" s="501">
        <v>360</v>
      </c>
      <c r="K37" s="501">
        <v>298</v>
      </c>
      <c r="L37" s="502">
        <v>980</v>
      </c>
      <c r="M37" s="463"/>
      <c r="O37" s="58">
        <f t="shared" si="15"/>
        <v>1.8569062481417898E-4</v>
      </c>
      <c r="P37" s="59">
        <f t="shared" si="16"/>
        <v>1.5008851664349029E-4</v>
      </c>
      <c r="Q37" s="59">
        <f t="shared" si="17"/>
        <v>1.7089969789917987E-4</v>
      </c>
      <c r="R37" s="59">
        <f t="shared" si="18"/>
        <v>1.2857067441988514E-4</v>
      </c>
      <c r="S37" s="59">
        <f t="shared" si="19"/>
        <v>1.4317854745227767E-4</v>
      </c>
      <c r="T37" s="59">
        <f t="shared" si="20"/>
        <v>1.0197477661993542E-4</v>
      </c>
      <c r="U37" s="59">
        <f t="shared" si="21"/>
        <v>1.0204487181552865E-4</v>
      </c>
      <c r="V37" s="59">
        <f t="shared" si="22"/>
        <v>8.950994274024771E-5</v>
      </c>
      <c r="W37" s="59">
        <f t="shared" si="23"/>
        <v>8.3121258677513064E-5</v>
      </c>
      <c r="X37" s="59">
        <f t="shared" si="24"/>
        <v>6.9809614189436582E-5</v>
      </c>
      <c r="Y37" s="60">
        <f t="shared" si="25"/>
        <v>2.033545195541971E-4</v>
      </c>
      <c r="Z37" s="65">
        <f t="shared" si="26"/>
        <v>1.2984027680235186E-4</v>
      </c>
      <c r="AB37" s="68"/>
      <c r="AC37" s="59">
        <f t="shared" si="27"/>
        <v>-0.13108614232209737</v>
      </c>
      <c r="AD37" s="59">
        <f t="shared" si="27"/>
        <v>0.24137931034482762</v>
      </c>
      <c r="AE37" s="59">
        <f t="shared" si="27"/>
        <v>-0.21354166666666663</v>
      </c>
      <c r="AF37" s="59">
        <f t="shared" si="27"/>
        <v>0.16335540838852092</v>
      </c>
      <c r="AG37" s="59">
        <f t="shared" si="1"/>
        <v>-0.2827324478178368</v>
      </c>
      <c r="AH37" s="59">
        <f t="shared" si="2"/>
        <v>5.2910052910053462E-3</v>
      </c>
      <c r="AI37" s="59">
        <f t="shared" si="3"/>
        <v>-2.6315789473684181E-2</v>
      </c>
      <c r="AJ37" s="59">
        <f t="shared" si="4"/>
        <v>-2.7027027027026973E-2</v>
      </c>
      <c r="AK37" s="59">
        <f t="shared" si="5"/>
        <v>-0.17222222222222228</v>
      </c>
      <c r="AL37" s="60">
        <f t="shared" si="28"/>
        <v>2.2885906040268456</v>
      </c>
      <c r="AM37" s="65">
        <f t="shared" si="29"/>
        <v>0.18456910325216652</v>
      </c>
      <c r="AO37" s="58"/>
      <c r="AP37" s="59">
        <f t="shared" si="32"/>
        <v>-0.20099875156054925</v>
      </c>
      <c r="AQ37" s="59">
        <f t="shared" si="33"/>
        <v>0.15316238768678825</v>
      </c>
      <c r="AR37" s="59">
        <f t="shared" si="34"/>
        <v>-0.26492351310091289</v>
      </c>
      <c r="AS37" s="59">
        <f t="shared" si="35"/>
        <v>9.245507408068443E-2</v>
      </c>
      <c r="AT37" s="59">
        <f t="shared" si="36"/>
        <v>-0.32010957778479099</v>
      </c>
      <c r="AU37" s="59">
        <f t="shared" si="37"/>
        <v>-4.1233869919275579E-2</v>
      </c>
      <c r="AV37" s="59">
        <f t="shared" si="38"/>
        <v>-6.8066414121060625E-2</v>
      </c>
      <c r="AW37" s="59">
        <f t="shared" si="39"/>
        <v>-7.9408673504614335E-2</v>
      </c>
      <c r="AX37" s="59">
        <f t="shared" si="40"/>
        <v>-0.23118995283943744</v>
      </c>
      <c r="AY37" s="60">
        <f t="shared" si="41"/>
        <v>2.2241084353204368</v>
      </c>
      <c r="AZ37" s="65">
        <f t="shared" si="31"/>
        <v>0.12637951442572684</v>
      </c>
    </row>
    <row r="38" spans="1:52" ht="51">
      <c r="A38" s="509" t="s">
        <v>34</v>
      </c>
      <c r="B38" s="495">
        <v>10537</v>
      </c>
      <c r="C38" s="496">
        <v>18483</v>
      </c>
      <c r="D38" s="463">
        <v>40489</v>
      </c>
      <c r="E38" s="496">
        <v>23660</v>
      </c>
      <c r="F38" s="496">
        <v>26176</v>
      </c>
      <c r="G38" s="496">
        <v>2700</v>
      </c>
      <c r="H38" s="496">
        <v>27611</v>
      </c>
      <c r="I38" s="496">
        <v>23651</v>
      </c>
      <c r="J38" s="496">
        <v>16158</v>
      </c>
      <c r="K38" s="496">
        <v>14908</v>
      </c>
      <c r="L38" s="497">
        <v>6931</v>
      </c>
      <c r="M38" s="463"/>
      <c r="O38" s="58">
        <f t="shared" si="15"/>
        <v>3.6640863551816553E-3</v>
      </c>
      <c r="P38" s="59">
        <f t="shared" si="16"/>
        <v>5.9786337351759285E-3</v>
      </c>
      <c r="Q38" s="59">
        <f t="shared" si="17"/>
        <v>1.2013121299027592E-2</v>
      </c>
      <c r="R38" s="59">
        <f t="shared" si="18"/>
        <v>6.7151923990606674E-3</v>
      </c>
      <c r="S38" s="59">
        <f t="shared" si="19"/>
        <v>7.1116540002102852E-3</v>
      </c>
      <c r="T38" s="59">
        <f t="shared" si="20"/>
        <v>7.2839126157096725E-4</v>
      </c>
      <c r="U38" s="59">
        <f t="shared" si="21"/>
        <v>7.4146340939435828E-3</v>
      </c>
      <c r="V38" s="59">
        <f t="shared" si="22"/>
        <v>5.7216206912151313E-3</v>
      </c>
      <c r="W38" s="59">
        <f t="shared" si="23"/>
        <v>3.7307591603090448E-3</v>
      </c>
      <c r="X38" s="59">
        <f t="shared" si="24"/>
        <v>3.4923547930742305E-3</v>
      </c>
      <c r="Y38" s="60">
        <f t="shared" si="25"/>
        <v>1.4382144643164693E-3</v>
      </c>
      <c r="Z38" s="65">
        <f t="shared" si="26"/>
        <v>5.2735147502805044E-3</v>
      </c>
      <c r="AB38" s="68"/>
      <c r="AC38" s="59">
        <f t="shared" si="27"/>
        <v>0.75410458384739498</v>
      </c>
      <c r="AD38" s="59">
        <f t="shared" si="27"/>
        <v>1.1906075853486988</v>
      </c>
      <c r="AE38" s="59">
        <f t="shared" si="27"/>
        <v>-0.41564375509397611</v>
      </c>
      <c r="AF38" s="59">
        <f t="shared" si="27"/>
        <v>0.10633981403212167</v>
      </c>
      <c r="AG38" s="59">
        <f t="shared" si="1"/>
        <v>-0.89685207823960877</v>
      </c>
      <c r="AH38" s="59">
        <f t="shared" si="2"/>
        <v>9.2262962962962956</v>
      </c>
      <c r="AI38" s="59">
        <f t="shared" si="3"/>
        <v>-0.14342110028611788</v>
      </c>
      <c r="AJ38" s="59">
        <f t="shared" si="4"/>
        <v>-0.3168153566445393</v>
      </c>
      <c r="AK38" s="59">
        <f t="shared" si="5"/>
        <v>-7.7361059537071397E-2</v>
      </c>
      <c r="AL38" s="60">
        <f t="shared" si="28"/>
        <v>-0.53508183525623831</v>
      </c>
      <c r="AM38" s="65">
        <f t="shared" si="29"/>
        <v>0.88921730944669586</v>
      </c>
      <c r="AO38" s="58"/>
      <c r="AP38" s="59">
        <f t="shared" si="32"/>
        <v>0.61296973227346685</v>
      </c>
      <c r="AQ38" s="59">
        <f t="shared" si="33"/>
        <v>1.03493505373776</v>
      </c>
      <c r="AR38" s="59">
        <f t="shared" si="34"/>
        <v>-0.45382162360405287</v>
      </c>
      <c r="AS38" s="59">
        <f t="shared" si="35"/>
        <v>3.8914277427102739E-2</v>
      </c>
      <c r="AT38" s="59">
        <f t="shared" si="36"/>
        <v>-0.90222716214760101</v>
      </c>
      <c r="AU38" s="59">
        <f t="shared" si="37"/>
        <v>8.7530232275585345</v>
      </c>
      <c r="AV38" s="59">
        <f t="shared" si="38"/>
        <v>-0.18015036397982187</v>
      </c>
      <c r="AW38" s="59">
        <f t="shared" si="39"/>
        <v>-0.35359575801356724</v>
      </c>
      <c r="AX38" s="59">
        <f t="shared" si="40"/>
        <v>-0.14308633745432464</v>
      </c>
      <c r="AY38" s="60">
        <f t="shared" si="41"/>
        <v>-0.54419787770219441</v>
      </c>
      <c r="AZ38" s="65">
        <f t="shared" si="31"/>
        <v>0.78627631680953036</v>
      </c>
    </row>
    <row r="39" spans="1:52" ht="38.25">
      <c r="A39" s="509" t="s">
        <v>35</v>
      </c>
      <c r="B39" s="495">
        <v>176416</v>
      </c>
      <c r="C39" s="496">
        <v>39184</v>
      </c>
      <c r="D39" s="463">
        <v>215747</v>
      </c>
      <c r="E39" s="496">
        <v>52616</v>
      </c>
      <c r="F39" s="496">
        <v>23280</v>
      </c>
      <c r="G39" s="496">
        <v>162258</v>
      </c>
      <c r="H39" s="496">
        <v>58890</v>
      </c>
      <c r="I39" s="496">
        <v>60056</v>
      </c>
      <c r="J39" s="496">
        <v>43725</v>
      </c>
      <c r="K39" s="496">
        <v>57366</v>
      </c>
      <c r="L39" s="497">
        <v>121375</v>
      </c>
      <c r="M39" s="463"/>
      <c r="O39" s="58">
        <f t="shared" si="15"/>
        <v>6.1346062298161419E-2</v>
      </c>
      <c r="P39" s="59">
        <f t="shared" si="16"/>
        <v>1.2674716457238196E-2</v>
      </c>
      <c r="Q39" s="59">
        <f t="shared" si="17"/>
        <v>6.4012321393497149E-2</v>
      </c>
      <c r="R39" s="59">
        <f t="shared" si="18"/>
        <v>1.4933498024893327E-2</v>
      </c>
      <c r="S39" s="59">
        <f t="shared" si="19"/>
        <v>6.324851204343499E-3</v>
      </c>
      <c r="T39" s="59">
        <f t="shared" si="20"/>
        <v>4.377307752591926E-2</v>
      </c>
      <c r="U39" s="59">
        <f t="shared" si="21"/>
        <v>1.5814269740043376E-2</v>
      </c>
      <c r="V39" s="59">
        <f t="shared" si="22"/>
        <v>1.4528673300563018E-2</v>
      </c>
      <c r="W39" s="59">
        <f t="shared" si="23"/>
        <v>1.0095769543539608E-2</v>
      </c>
      <c r="X39" s="59">
        <f t="shared" si="24"/>
        <v>1.3438584991916844E-2</v>
      </c>
      <c r="Y39" s="60">
        <f t="shared" si="25"/>
        <v>2.5185872256010891E-2</v>
      </c>
      <c r="Z39" s="65">
        <f t="shared" si="26"/>
        <v>2.5647972430556963E-2</v>
      </c>
      <c r="AB39" s="68"/>
      <c r="AC39" s="59">
        <f t="shared" si="27"/>
        <v>-0.77788862688191551</v>
      </c>
      <c r="AD39" s="59">
        <f t="shared" si="27"/>
        <v>4.5059973458554516</v>
      </c>
      <c r="AE39" s="59">
        <f t="shared" si="27"/>
        <v>-0.75612175372079338</v>
      </c>
      <c r="AF39" s="59">
        <f t="shared" si="27"/>
        <v>-0.55754903451421622</v>
      </c>
      <c r="AG39" s="59">
        <f t="shared" si="1"/>
        <v>5.9698453608247419</v>
      </c>
      <c r="AH39" s="59">
        <f t="shared" si="2"/>
        <v>-0.63705949783677851</v>
      </c>
      <c r="AI39" s="59">
        <f t="shared" si="3"/>
        <v>1.9799626422142946E-2</v>
      </c>
      <c r="AJ39" s="59">
        <f t="shared" si="4"/>
        <v>-0.27192953243639273</v>
      </c>
      <c r="AK39" s="59">
        <f t="shared" si="5"/>
        <v>0.31197255574614058</v>
      </c>
      <c r="AL39" s="60">
        <f t="shared" si="28"/>
        <v>1.115800299829167</v>
      </c>
      <c r="AM39" s="65">
        <f t="shared" si="29"/>
        <v>0.89228667432875464</v>
      </c>
      <c r="AO39" s="58"/>
      <c r="AP39" s="59">
        <f t="shared" si="32"/>
        <v>-0.79575965690291084</v>
      </c>
      <c r="AQ39" s="59">
        <f t="shared" si="33"/>
        <v>4.1147211758991658</v>
      </c>
      <c r="AR39" s="59">
        <f t="shared" si="34"/>
        <v>-0.77205510208504857</v>
      </c>
      <c r="AS39" s="59">
        <f t="shared" si="35"/>
        <v>-0.58451407128764787</v>
      </c>
      <c r="AT39" s="59">
        <f t="shared" si="36"/>
        <v>5.6066436307192129</v>
      </c>
      <c r="AU39" s="59">
        <f t="shared" si="37"/>
        <v>-0.65385638697935322</v>
      </c>
      <c r="AV39" s="59">
        <f t="shared" si="38"/>
        <v>-2.3928382061501718E-2</v>
      </c>
      <c r="AW39" s="59">
        <f t="shared" si="39"/>
        <v>-0.31112643810804497</v>
      </c>
      <c r="AX39" s="59">
        <f t="shared" si="40"/>
        <v>0.21851263652469632</v>
      </c>
      <c r="AY39" s="60">
        <f t="shared" si="41"/>
        <v>1.0743140194403598</v>
      </c>
      <c r="AZ39" s="65">
        <f t="shared" si="31"/>
        <v>0.78729514251589283</v>
      </c>
    </row>
    <row r="40" spans="1:52" ht="51">
      <c r="A40" s="509" t="s">
        <v>36</v>
      </c>
      <c r="B40" s="495">
        <v>201912</v>
      </c>
      <c r="C40" s="496">
        <v>81582</v>
      </c>
      <c r="D40" s="463">
        <v>306064</v>
      </c>
      <c r="E40" s="496">
        <v>116568</v>
      </c>
      <c r="F40" s="496">
        <v>62423</v>
      </c>
      <c r="G40" s="496">
        <v>177972</v>
      </c>
      <c r="H40" s="496">
        <v>109935</v>
      </c>
      <c r="I40" s="496">
        <v>103000</v>
      </c>
      <c r="J40" s="496">
        <v>81395</v>
      </c>
      <c r="K40" s="496">
        <v>79996</v>
      </c>
      <c r="L40" s="497">
        <v>142068</v>
      </c>
      <c r="M40" s="463"/>
      <c r="O40" s="58">
        <f t="shared" si="15"/>
        <v>7.0211920294907318E-2</v>
      </c>
      <c r="P40" s="59">
        <f t="shared" si="16"/>
        <v>2.6389054665537121E-2</v>
      </c>
      <c r="Q40" s="59">
        <f t="shared" si="17"/>
        <v>9.0809453364261425E-2</v>
      </c>
      <c r="R40" s="59">
        <f t="shared" si="18"/>
        <v>3.3084384935490443E-2</v>
      </c>
      <c r="S40" s="59">
        <f t="shared" si="19"/>
        <v>1.6959458192815045E-2</v>
      </c>
      <c r="T40" s="59">
        <f t="shared" si="20"/>
        <v>4.8012314668262293E-2</v>
      </c>
      <c r="U40" s="59">
        <f t="shared" si="21"/>
        <v>2.9521849955368794E-2</v>
      </c>
      <c r="V40" s="59">
        <f t="shared" si="22"/>
        <v>2.4917632708771661E-2</v>
      </c>
      <c r="W40" s="59">
        <f t="shared" si="23"/>
        <v>1.879348569460049E-2</v>
      </c>
      <c r="X40" s="59">
        <f t="shared" si="24"/>
        <v>1.8739898982208621E-2</v>
      </c>
      <c r="Y40" s="60">
        <f t="shared" si="25"/>
        <v>2.9479765187781299E-2</v>
      </c>
      <c r="Z40" s="65">
        <f t="shared" si="26"/>
        <v>3.6992656240909499E-2</v>
      </c>
      <c r="AB40" s="68"/>
      <c r="AC40" s="59">
        <f t="shared" si="27"/>
        <v>-0.59595269226197556</v>
      </c>
      <c r="AD40" s="59">
        <f t="shared" si="27"/>
        <v>2.7516118751685421</v>
      </c>
      <c r="AE40" s="59">
        <f t="shared" si="27"/>
        <v>-0.61913848084060852</v>
      </c>
      <c r="AF40" s="59">
        <f t="shared" si="27"/>
        <v>-0.4644928282204378</v>
      </c>
      <c r="AG40" s="59">
        <f t="shared" si="1"/>
        <v>1.8510645114781412</v>
      </c>
      <c r="AH40" s="59">
        <f t="shared" si="2"/>
        <v>-0.38229047265862048</v>
      </c>
      <c r="AI40" s="59">
        <f t="shared" si="3"/>
        <v>-6.3082730704507206E-2</v>
      </c>
      <c r="AJ40" s="59">
        <f t="shared" si="4"/>
        <v>-0.20975728155339801</v>
      </c>
      <c r="AK40" s="59">
        <f t="shared" si="5"/>
        <v>-1.7187787947662625E-2</v>
      </c>
      <c r="AL40" s="60">
        <f t="shared" si="28"/>
        <v>0.77593879693984702</v>
      </c>
      <c r="AM40" s="65">
        <f t="shared" si="29"/>
        <v>0.30267129093993195</v>
      </c>
      <c r="AO40" s="58"/>
      <c r="AP40" s="59">
        <f t="shared" si="32"/>
        <v>-0.62846224575813836</v>
      </c>
      <c r="AQ40" s="59">
        <f t="shared" si="33"/>
        <v>2.4850087089350135</v>
      </c>
      <c r="AR40" s="59">
        <f t="shared" si="34"/>
        <v>-0.64402138596187353</v>
      </c>
      <c r="AS40" s="59">
        <f t="shared" si="35"/>
        <v>-0.49712914660572616</v>
      </c>
      <c r="AT40" s="59">
        <f t="shared" si="36"/>
        <v>1.70249427647241</v>
      </c>
      <c r="AU40" s="59">
        <f t="shared" si="37"/>
        <v>-0.41087807418345468</v>
      </c>
      <c r="AV40" s="59">
        <f t="shared" si="38"/>
        <v>-0.10325682494688659</v>
      </c>
      <c r="AW40" s="59">
        <f t="shared" si="39"/>
        <v>-0.25230133556003209</v>
      </c>
      <c r="AX40" s="59">
        <f t="shared" si="40"/>
        <v>-8.7199580150146394E-2</v>
      </c>
      <c r="AY40" s="60">
        <f t="shared" si="41"/>
        <v>0.74111646758808525</v>
      </c>
      <c r="AZ40" s="65">
        <f t="shared" si="31"/>
        <v>0.23053708598292508</v>
      </c>
    </row>
    <row r="41" spans="1:52" ht="38.25">
      <c r="A41" s="509" t="s">
        <v>37</v>
      </c>
      <c r="B41" s="495">
        <v>41772</v>
      </c>
      <c r="C41" s="496">
        <v>45907</v>
      </c>
      <c r="D41" s="463">
        <v>53755</v>
      </c>
      <c r="E41" s="496">
        <v>70000</v>
      </c>
      <c r="F41" s="496">
        <v>79981</v>
      </c>
      <c r="G41" s="496">
        <v>68843</v>
      </c>
      <c r="H41" s="496">
        <v>71628</v>
      </c>
      <c r="I41" s="496">
        <v>70429</v>
      </c>
      <c r="J41" s="496">
        <v>36610</v>
      </c>
      <c r="K41" s="501"/>
      <c r="L41" s="497">
        <v>31597</v>
      </c>
      <c r="M41" s="463"/>
      <c r="O41" s="58">
        <f t="shared" si="15"/>
        <v>1.4525596965801281E-2</v>
      </c>
      <c r="P41" s="59">
        <f t="shared" si="16"/>
        <v>1.4849382615415321E-2</v>
      </c>
      <c r="Q41" s="59">
        <f t="shared" si="17"/>
        <v>1.594915496626808E-2</v>
      </c>
      <c r="R41" s="59">
        <f t="shared" si="18"/>
        <v>1.9867433133315585E-2</v>
      </c>
      <c r="S41" s="59">
        <f t="shared" si="19"/>
        <v>2.1729721828805729E-2</v>
      </c>
      <c r="T41" s="59">
        <f t="shared" si="20"/>
        <v>1.8572088748270408E-2</v>
      </c>
      <c r="U41" s="59">
        <f t="shared" si="21"/>
        <v>1.9234921258954436E-2</v>
      </c>
      <c r="V41" s="59">
        <f t="shared" si="22"/>
        <v>1.7038096641224069E-2</v>
      </c>
      <c r="W41" s="59">
        <f t="shared" si="23"/>
        <v>8.4529702227326489E-3</v>
      </c>
      <c r="X41" s="59">
        <f t="shared" si="24"/>
        <v>0</v>
      </c>
      <c r="Y41" s="60">
        <f t="shared" si="25"/>
        <v>6.556523218728536E-3</v>
      </c>
      <c r="Z41" s="65">
        <f t="shared" si="26"/>
        <v>1.4252353599956009E-2</v>
      </c>
      <c r="AB41" s="68"/>
      <c r="AC41" s="59">
        <f t="shared" si="27"/>
        <v>9.898975390213538E-2</v>
      </c>
      <c r="AD41" s="59">
        <f t="shared" si="27"/>
        <v>0.17095432069183358</v>
      </c>
      <c r="AE41" s="59">
        <f t="shared" si="27"/>
        <v>0.30220444609803732</v>
      </c>
      <c r="AF41" s="59">
        <f t="shared" si="27"/>
        <v>0.14258571428571432</v>
      </c>
      <c r="AG41" s="59">
        <f t="shared" si="1"/>
        <v>-0.13925807379252575</v>
      </c>
      <c r="AH41" s="59">
        <f t="shared" si="2"/>
        <v>4.0454367183301088E-2</v>
      </c>
      <c r="AI41" s="59">
        <f t="shared" si="3"/>
        <v>-1.6739263974981822E-2</v>
      </c>
      <c r="AJ41" s="59">
        <f t="shared" si="4"/>
        <v>-0.48018571895100026</v>
      </c>
      <c r="AK41" s="59">
        <f t="shared" si="5"/>
        <v>-1</v>
      </c>
      <c r="AL41" s="60" t="str">
        <f t="shared" si="28"/>
        <v/>
      </c>
      <c r="AM41" s="65">
        <f t="shared" si="29"/>
        <v>-9.7888272728609574E-2</v>
      </c>
      <c r="AO41" s="58"/>
      <c r="AP41" s="59">
        <f t="shared" si="32"/>
        <v>1.0565290944492434E-2</v>
      </c>
      <c r="AQ41" s="59">
        <f t="shared" si="33"/>
        <v>8.7742053592042346E-2</v>
      </c>
      <c r="AR41" s="59">
        <f t="shared" si="34"/>
        <v>0.21712725123659893</v>
      </c>
      <c r="AS41" s="59">
        <f t="shared" si="35"/>
        <v>7.2951182538937287E-2</v>
      </c>
      <c r="AT41" s="59">
        <f t="shared" si="36"/>
        <v>-0.18411171696373196</v>
      </c>
      <c r="AU41" s="59">
        <f t="shared" si="37"/>
        <v>-7.6978686771822513E-3</v>
      </c>
      <c r="AV41" s="59">
        <f t="shared" si="38"/>
        <v>-5.8900520649867727E-2</v>
      </c>
      <c r="AW41" s="59">
        <f t="shared" si="39"/>
        <v>-0.50817080040779661</v>
      </c>
      <c r="AX41" s="59">
        <f t="shared" si="40"/>
        <v>-1</v>
      </c>
      <c r="AY41" s="60">
        <f t="shared" si="41"/>
        <v>0</v>
      </c>
      <c r="AZ41" s="65">
        <f t="shared" si="31"/>
        <v>-0.13704951283865077</v>
      </c>
    </row>
    <row r="42" spans="1:52" ht="51">
      <c r="A42" s="509" t="s">
        <v>38</v>
      </c>
      <c r="B42" s="495">
        <v>6050</v>
      </c>
      <c r="C42" s="496">
        <v>6970</v>
      </c>
      <c r="D42" s="463">
        <v>7973</v>
      </c>
      <c r="E42" s="496">
        <v>8915</v>
      </c>
      <c r="F42" s="496">
        <v>9999</v>
      </c>
      <c r="G42" s="496">
        <v>11211</v>
      </c>
      <c r="H42" s="501"/>
      <c r="I42" s="496">
        <v>13693</v>
      </c>
      <c r="J42" s="496">
        <v>15019</v>
      </c>
      <c r="K42" s="501"/>
      <c r="L42" s="502"/>
      <c r="M42" s="463"/>
      <c r="O42" s="58">
        <f t="shared" si="15"/>
        <v>2.1037982773891065E-3</v>
      </c>
      <c r="P42" s="59">
        <f t="shared" si="16"/>
        <v>2.2545624159593259E-3</v>
      </c>
      <c r="Q42" s="59">
        <f t="shared" si="17"/>
        <v>2.365595991927363E-3</v>
      </c>
      <c r="R42" s="59">
        <f t="shared" si="18"/>
        <v>2.5302595197644064E-3</v>
      </c>
      <c r="S42" s="59">
        <f t="shared" si="19"/>
        <v>2.7165887969171241E-3</v>
      </c>
      <c r="T42" s="59">
        <f t="shared" si="20"/>
        <v>3.0244423827674497E-3</v>
      </c>
      <c r="U42" s="59">
        <f t="shared" si="21"/>
        <v>0</v>
      </c>
      <c r="V42" s="59">
        <f t="shared" si="22"/>
        <v>3.312593637681654E-3</v>
      </c>
      <c r="W42" s="59">
        <f t="shared" si="23"/>
        <v>3.467772733548802E-3</v>
      </c>
      <c r="X42" s="59">
        <f t="shared" si="24"/>
        <v>0</v>
      </c>
      <c r="Y42" s="60">
        <f t="shared" si="25"/>
        <v>0</v>
      </c>
      <c r="Z42" s="65">
        <f t="shared" si="26"/>
        <v>1.9796012505413851E-3</v>
      </c>
      <c r="AB42" s="68"/>
      <c r="AC42" s="59">
        <f t="shared" si="27"/>
        <v>0.15206611570247941</v>
      </c>
      <c r="AD42" s="59">
        <f t="shared" si="27"/>
        <v>0.14390243902439015</v>
      </c>
      <c r="AE42" s="59">
        <f t="shared" si="27"/>
        <v>0.11814875203812858</v>
      </c>
      <c r="AF42" s="59">
        <f t="shared" si="27"/>
        <v>0.12159282108805392</v>
      </c>
      <c r="AG42" s="59">
        <f t="shared" si="1"/>
        <v>0.1212121212121211</v>
      </c>
      <c r="AH42" s="59">
        <f t="shared" si="2"/>
        <v>-1</v>
      </c>
      <c r="AI42" s="59" t="str">
        <f t="shared" si="3"/>
        <v/>
      </c>
      <c r="AJ42" s="59">
        <f t="shared" si="4"/>
        <v>9.6837800335938029E-2</v>
      </c>
      <c r="AK42" s="59">
        <f t="shared" si="5"/>
        <v>-1</v>
      </c>
      <c r="AL42" s="60" t="str">
        <f t="shared" si="28"/>
        <v/>
      </c>
      <c r="AM42" s="65">
        <f t="shared" si="29"/>
        <v>-0.1557799938248611</v>
      </c>
      <c r="AO42" s="58"/>
      <c r="AP42" s="59">
        <f t="shared" si="32"/>
        <v>5.9371140875843276E-2</v>
      </c>
      <c r="AQ42" s="59">
        <f t="shared" si="33"/>
        <v>6.2612576892141281E-2</v>
      </c>
      <c r="AR42" s="59">
        <f t="shared" si="34"/>
        <v>4.5096506251171675E-2</v>
      </c>
      <c r="AS42" s="59">
        <f t="shared" si="35"/>
        <v>5.3237694701900651E-2</v>
      </c>
      <c r="AT42" s="59">
        <f t="shared" si="36"/>
        <v>6.2785260764338435E-2</v>
      </c>
      <c r="AU42" s="59">
        <f t="shared" si="37"/>
        <v>-1</v>
      </c>
      <c r="AV42" s="59">
        <f t="shared" si="38"/>
        <v>0</v>
      </c>
      <c r="AW42" s="59">
        <f t="shared" si="39"/>
        <v>3.7787681271584939E-2</v>
      </c>
      <c r="AX42" s="59">
        <f t="shared" si="40"/>
        <v>-1</v>
      </c>
      <c r="AY42" s="60">
        <f t="shared" si="41"/>
        <v>0</v>
      </c>
      <c r="AZ42" s="65">
        <f t="shared" si="31"/>
        <v>-0.16791091392430196</v>
      </c>
    </row>
    <row r="43" spans="1:52" ht="25.5">
      <c r="A43" s="509" t="s">
        <v>39</v>
      </c>
      <c r="B43" s="495">
        <v>4742</v>
      </c>
      <c r="C43" s="501"/>
      <c r="D43" s="463">
        <v>0</v>
      </c>
      <c r="E43" s="501"/>
      <c r="F43" s="496">
        <v>4221</v>
      </c>
      <c r="G43" s="496">
        <v>9537</v>
      </c>
      <c r="H43" s="501"/>
      <c r="I43" s="501"/>
      <c r="J43" s="501"/>
      <c r="K43" s="501"/>
      <c r="L43" s="502"/>
      <c r="M43" s="463"/>
      <c r="O43" s="58">
        <f t="shared" si="15"/>
        <v>1.6489605671701061E-3</v>
      </c>
      <c r="P43" s="59">
        <f t="shared" si="16"/>
        <v>0</v>
      </c>
      <c r="Q43" s="59">
        <f t="shared" si="17"/>
        <v>0</v>
      </c>
      <c r="R43" s="59">
        <f t="shared" si="18"/>
        <v>0</v>
      </c>
      <c r="S43" s="59">
        <f t="shared" si="19"/>
        <v>1.1467868098597039E-3</v>
      </c>
      <c r="T43" s="59">
        <f t="shared" si="20"/>
        <v>2.57283980059345E-3</v>
      </c>
      <c r="U43" s="59">
        <f t="shared" si="21"/>
        <v>0</v>
      </c>
      <c r="V43" s="59">
        <f t="shared" si="22"/>
        <v>0</v>
      </c>
      <c r="W43" s="59">
        <f t="shared" si="23"/>
        <v>0</v>
      </c>
      <c r="X43" s="59">
        <f t="shared" si="24"/>
        <v>0</v>
      </c>
      <c r="Y43" s="60">
        <f t="shared" si="25"/>
        <v>0</v>
      </c>
      <c r="Z43" s="65">
        <f t="shared" si="26"/>
        <v>4.8805337978393272E-4</v>
      </c>
      <c r="AB43" s="68"/>
      <c r="AC43" s="59">
        <f t="shared" si="27"/>
        <v>-1</v>
      </c>
      <c r="AD43" s="59" t="str">
        <f t="shared" si="27"/>
        <v/>
      </c>
      <c r="AE43" s="59" t="str">
        <f t="shared" si="27"/>
        <v/>
      </c>
      <c r="AF43" s="59" t="str">
        <f t="shared" si="27"/>
        <v/>
      </c>
      <c r="AG43" s="59">
        <f t="shared" si="1"/>
        <v>1.2594171997157071</v>
      </c>
      <c r="AH43" s="59">
        <f t="shared" si="2"/>
        <v>-1</v>
      </c>
      <c r="AI43" s="59" t="str">
        <f t="shared" si="3"/>
        <v/>
      </c>
      <c r="AJ43" s="59" t="str">
        <f t="shared" si="4"/>
        <v/>
      </c>
      <c r="AK43" s="59" t="str">
        <f t="shared" si="5"/>
        <v/>
      </c>
      <c r="AL43" s="60" t="str">
        <f t="shared" si="28"/>
        <v/>
      </c>
      <c r="AM43" s="65">
        <f t="shared" si="29"/>
        <v>-0.24686093342809765</v>
      </c>
      <c r="AO43" s="58"/>
      <c r="AP43" s="59">
        <f t="shared" si="32"/>
        <v>-1</v>
      </c>
      <c r="AQ43" s="59">
        <f t="shared" si="33"/>
        <v>0</v>
      </c>
      <c r="AR43" s="59">
        <f t="shared" si="34"/>
        <v>0</v>
      </c>
      <c r="AS43" s="59">
        <f t="shared" si="35"/>
        <v>0</v>
      </c>
      <c r="AT43" s="59">
        <f t="shared" si="36"/>
        <v>1.1416779682860687</v>
      </c>
      <c r="AU43" s="59">
        <f t="shared" si="37"/>
        <v>-1</v>
      </c>
      <c r="AV43" s="59">
        <f t="shared" si="38"/>
        <v>0</v>
      </c>
      <c r="AW43" s="59">
        <f t="shared" si="39"/>
        <v>0</v>
      </c>
      <c r="AX43" s="59">
        <f t="shared" si="40"/>
        <v>0</v>
      </c>
      <c r="AY43" s="60">
        <f t="shared" si="41"/>
        <v>0</v>
      </c>
      <c r="AZ43" s="65">
        <f t="shared" si="31"/>
        <v>-8.5832203171393132E-2</v>
      </c>
    </row>
    <row r="44" spans="1:52" ht="38.25">
      <c r="A44" s="509" t="s">
        <v>40</v>
      </c>
      <c r="B44" s="503"/>
      <c r="C44" s="496">
        <v>8579</v>
      </c>
      <c r="D44" s="463">
        <v>7723</v>
      </c>
      <c r="E44" s="496">
        <v>4516</v>
      </c>
      <c r="F44" s="501"/>
      <c r="G44" s="501"/>
      <c r="H44" s="496">
        <v>16561</v>
      </c>
      <c r="I44" s="496">
        <v>21347</v>
      </c>
      <c r="J44" s="496">
        <v>17307</v>
      </c>
      <c r="K44" s="501"/>
      <c r="L44" s="497">
        <v>18354</v>
      </c>
      <c r="M44" s="463"/>
      <c r="O44" s="58">
        <f t="shared" si="15"/>
        <v>0</v>
      </c>
      <c r="P44" s="59">
        <f t="shared" si="16"/>
        <v>2.7750202247510845E-3</v>
      </c>
      <c r="Q44" s="59">
        <f t="shared" si="17"/>
        <v>2.2914207758252883E-3</v>
      </c>
      <c r="R44" s="59">
        <f t="shared" si="18"/>
        <v>1.2817332575721884E-3</v>
      </c>
      <c r="S44" s="59">
        <f t="shared" si="19"/>
        <v>0</v>
      </c>
      <c r="T44" s="59">
        <f t="shared" si="20"/>
        <v>0</v>
      </c>
      <c r="U44" s="59">
        <f t="shared" si="21"/>
        <v>4.4472766372025529E-3</v>
      </c>
      <c r="V44" s="59">
        <f t="shared" si="22"/>
        <v>5.1642398585839671E-3</v>
      </c>
      <c r="W44" s="59">
        <f t="shared" si="23"/>
        <v>3.9960545109214403E-3</v>
      </c>
      <c r="X44" s="59">
        <f t="shared" si="24"/>
        <v>0</v>
      </c>
      <c r="Y44" s="60">
        <f t="shared" si="25"/>
        <v>3.8085396447936053E-3</v>
      </c>
      <c r="Z44" s="65">
        <f t="shared" si="26"/>
        <v>2.1603895372409201E-3</v>
      </c>
      <c r="AB44" s="68"/>
      <c r="AC44" s="59" t="str">
        <f t="shared" si="27"/>
        <v/>
      </c>
      <c r="AD44" s="59">
        <f t="shared" si="27"/>
        <v>-9.9778528966079971E-2</v>
      </c>
      <c r="AE44" s="59">
        <f t="shared" si="27"/>
        <v>-0.4152531399715137</v>
      </c>
      <c r="AF44" s="59">
        <f t="shared" si="27"/>
        <v>-1</v>
      </c>
      <c r="AG44" s="59" t="str">
        <f t="shared" si="1"/>
        <v/>
      </c>
      <c r="AH44" s="59" t="str">
        <f t="shared" si="2"/>
        <v/>
      </c>
      <c r="AI44" s="59">
        <f t="shared" si="3"/>
        <v>0.28899221061530111</v>
      </c>
      <c r="AJ44" s="59">
        <f t="shared" si="4"/>
        <v>-0.18925375931044175</v>
      </c>
      <c r="AK44" s="59">
        <f t="shared" si="5"/>
        <v>-1</v>
      </c>
      <c r="AL44" s="60" t="str">
        <f t="shared" si="28"/>
        <v/>
      </c>
      <c r="AM44" s="65">
        <f t="shared" si="29"/>
        <v>-0.40254886960545572</v>
      </c>
      <c r="AO44" s="58"/>
      <c r="AP44" s="59">
        <f t="shared" si="32"/>
        <v>0</v>
      </c>
      <c r="AQ44" s="59">
        <f t="shared" si="33"/>
        <v>-0.16375153642924289</v>
      </c>
      <c r="AR44" s="59">
        <f t="shared" si="34"/>
        <v>-0.45345652862091201</v>
      </c>
      <c r="AS44" s="59">
        <f t="shared" si="35"/>
        <v>-1</v>
      </c>
      <c r="AT44" s="59">
        <f t="shared" si="36"/>
        <v>0</v>
      </c>
      <c r="AU44" s="59">
        <f t="shared" si="37"/>
        <v>0</v>
      </c>
      <c r="AV44" s="59">
        <f t="shared" si="38"/>
        <v>0.23372148795492076</v>
      </c>
      <c r="AW44" s="59">
        <f t="shared" si="39"/>
        <v>-0.23290165513335392</v>
      </c>
      <c r="AX44" s="59">
        <f t="shared" si="40"/>
        <v>-1</v>
      </c>
      <c r="AY44" s="60">
        <f t="shared" si="41"/>
        <v>0</v>
      </c>
      <c r="AZ44" s="65">
        <f t="shared" si="31"/>
        <v>-0.26163882322285881</v>
      </c>
    </row>
    <row r="45" spans="1:52" ht="51">
      <c r="A45" s="509" t="s">
        <v>41</v>
      </c>
      <c r="B45" s="495">
        <v>4742</v>
      </c>
      <c r="C45" s="496">
        <v>8579</v>
      </c>
      <c r="D45" s="463">
        <v>7723</v>
      </c>
      <c r="E45" s="496">
        <v>4516</v>
      </c>
      <c r="F45" s="496">
        <v>4221</v>
      </c>
      <c r="G45" s="496">
        <v>9537</v>
      </c>
      <c r="H45" s="496">
        <v>16561</v>
      </c>
      <c r="I45" s="496">
        <v>21347</v>
      </c>
      <c r="J45" s="496">
        <v>17307</v>
      </c>
      <c r="K45" s="501"/>
      <c r="L45" s="497">
        <v>18354</v>
      </c>
      <c r="M45" s="463"/>
      <c r="O45" s="58">
        <f t="shared" si="15"/>
        <v>1.6489605671701061E-3</v>
      </c>
      <c r="P45" s="59">
        <f t="shared" si="16"/>
        <v>2.7750202247510845E-3</v>
      </c>
      <c r="Q45" s="59">
        <f t="shared" si="17"/>
        <v>2.2914207758252883E-3</v>
      </c>
      <c r="R45" s="59">
        <f t="shared" si="18"/>
        <v>1.2817332575721884E-3</v>
      </c>
      <c r="S45" s="59">
        <f t="shared" si="19"/>
        <v>1.1467868098597039E-3</v>
      </c>
      <c r="T45" s="59">
        <f t="shared" si="20"/>
        <v>2.57283980059345E-3</v>
      </c>
      <c r="U45" s="59">
        <f t="shared" si="21"/>
        <v>4.4472766372025529E-3</v>
      </c>
      <c r="V45" s="59">
        <f t="shared" si="22"/>
        <v>5.1642398585839671E-3</v>
      </c>
      <c r="W45" s="59">
        <f t="shared" si="23"/>
        <v>3.9960545109214403E-3</v>
      </c>
      <c r="X45" s="59">
        <f t="shared" si="24"/>
        <v>0</v>
      </c>
      <c r="Y45" s="60">
        <f t="shared" si="25"/>
        <v>3.8085396447936053E-3</v>
      </c>
      <c r="Z45" s="65">
        <f t="shared" si="26"/>
        <v>2.6484429170248532E-3</v>
      </c>
      <c r="AB45" s="68"/>
      <c r="AC45" s="59">
        <f t="shared" si="27"/>
        <v>0.80915225643188537</v>
      </c>
      <c r="AD45" s="59">
        <f t="shared" si="27"/>
        <v>-9.9778528966079971E-2</v>
      </c>
      <c r="AE45" s="59">
        <f t="shared" si="27"/>
        <v>-0.4152531399715137</v>
      </c>
      <c r="AF45" s="59">
        <f t="shared" si="27"/>
        <v>-6.5323294951284305E-2</v>
      </c>
      <c r="AG45" s="59">
        <f t="shared" si="1"/>
        <v>1.2594171997157071</v>
      </c>
      <c r="AH45" s="59">
        <f t="shared" si="2"/>
        <v>0.73649994757261195</v>
      </c>
      <c r="AI45" s="59">
        <f t="shared" si="3"/>
        <v>0.28899221061530111</v>
      </c>
      <c r="AJ45" s="59">
        <f t="shared" si="4"/>
        <v>-0.18925375931044175</v>
      </c>
      <c r="AK45" s="59">
        <f t="shared" si="5"/>
        <v>-1</v>
      </c>
      <c r="AL45" s="60" t="str">
        <f t="shared" si="28"/>
        <v/>
      </c>
      <c r="AM45" s="65">
        <f t="shared" si="29"/>
        <v>0.14716143234846513</v>
      </c>
      <c r="AO45" s="58"/>
      <c r="AP45" s="59">
        <f t="shared" si="32"/>
        <v>0.66358828177644646</v>
      </c>
      <c r="AQ45" s="59">
        <f t="shared" si="33"/>
        <v>-0.16375153642924289</v>
      </c>
      <c r="AR45" s="59">
        <f t="shared" si="34"/>
        <v>-0.45345652862091201</v>
      </c>
      <c r="AS45" s="59">
        <f t="shared" si="35"/>
        <v>-0.12228687665629101</v>
      </c>
      <c r="AT45" s="59">
        <f t="shared" si="36"/>
        <v>1.1416779682860687</v>
      </c>
      <c r="AU45" s="59">
        <f t="shared" si="37"/>
        <v>0.65613471706894466</v>
      </c>
      <c r="AV45" s="59">
        <f t="shared" si="38"/>
        <v>0.23372148795492076</v>
      </c>
      <c r="AW45" s="59">
        <f t="shared" si="39"/>
        <v>-0.23290165513335392</v>
      </c>
      <c r="AX45" s="59">
        <f t="shared" si="40"/>
        <v>-1</v>
      </c>
      <c r="AY45" s="60">
        <f t="shared" si="41"/>
        <v>0</v>
      </c>
      <c r="AZ45" s="65">
        <f t="shared" si="31"/>
        <v>7.2272585824658092E-2</v>
      </c>
    </row>
    <row r="46" spans="1:52" ht="25.5">
      <c r="A46" s="509" t="s">
        <v>42</v>
      </c>
      <c r="B46" s="503"/>
      <c r="C46" s="501"/>
      <c r="D46" s="463">
        <v>271526</v>
      </c>
      <c r="E46" s="496">
        <v>260833</v>
      </c>
      <c r="F46" s="496">
        <v>184790</v>
      </c>
      <c r="G46" s="496">
        <v>58198</v>
      </c>
      <c r="H46" s="501"/>
      <c r="I46" s="496">
        <v>12525</v>
      </c>
      <c r="J46" s="496">
        <v>14214</v>
      </c>
      <c r="K46" s="501"/>
      <c r="L46" s="497">
        <v>83359</v>
      </c>
      <c r="M46" s="463"/>
      <c r="O46" s="58">
        <f t="shared" si="15"/>
        <v>0</v>
      </c>
      <c r="P46" s="59">
        <f t="shared" si="16"/>
        <v>0</v>
      </c>
      <c r="Q46" s="59">
        <f t="shared" si="17"/>
        <v>8.0561998909327623E-2</v>
      </c>
      <c r="R46" s="59">
        <f t="shared" si="18"/>
        <v>7.4029745520887202E-2</v>
      </c>
      <c r="S46" s="59">
        <f t="shared" si="19"/>
        <v>5.0204864864718007E-2</v>
      </c>
      <c r="T46" s="59">
        <f t="shared" si="20"/>
        <v>1.5700338755891538E-2</v>
      </c>
      <c r="U46" s="59">
        <f t="shared" si="21"/>
        <v>0</v>
      </c>
      <c r="V46" s="59">
        <f t="shared" si="22"/>
        <v>3.0300325211394664E-3</v>
      </c>
      <c r="W46" s="59">
        <f t="shared" si="23"/>
        <v>3.2819043634504741E-3</v>
      </c>
      <c r="X46" s="59">
        <f t="shared" si="24"/>
        <v>0</v>
      </c>
      <c r="Y46" s="60">
        <f t="shared" si="25"/>
        <v>1.7297376934202361E-2</v>
      </c>
      <c r="Z46" s="65">
        <f t="shared" si="26"/>
        <v>2.2191478351783332E-2</v>
      </c>
      <c r="AB46" s="68"/>
      <c r="AC46" s="59" t="str">
        <f t="shared" si="27"/>
        <v/>
      </c>
      <c r="AD46" s="59" t="str">
        <f t="shared" si="27"/>
        <v/>
      </c>
      <c r="AE46" s="59">
        <f t="shared" si="27"/>
        <v>-3.9381127405846983E-2</v>
      </c>
      <c r="AF46" s="59">
        <f t="shared" si="27"/>
        <v>-0.291539030720806</v>
      </c>
      <c r="AG46" s="59">
        <f t="shared" si="1"/>
        <v>-0.68505871529844686</v>
      </c>
      <c r="AH46" s="59">
        <f t="shared" si="2"/>
        <v>-1</v>
      </c>
      <c r="AI46" s="59" t="str">
        <f t="shared" si="3"/>
        <v/>
      </c>
      <c r="AJ46" s="59">
        <f t="shared" si="4"/>
        <v>0.13485029940119753</v>
      </c>
      <c r="AK46" s="59">
        <f t="shared" si="5"/>
        <v>-1</v>
      </c>
      <c r="AL46" s="60" t="str">
        <f t="shared" si="28"/>
        <v/>
      </c>
      <c r="AM46" s="65">
        <f t="shared" si="29"/>
        <v>-0.48018809567065041</v>
      </c>
      <c r="AO46" s="58"/>
      <c r="AP46" s="59">
        <f t="shared" si="32"/>
        <v>0</v>
      </c>
      <c r="AQ46" s="59">
        <f t="shared" si="33"/>
        <v>0</v>
      </c>
      <c r="AR46" s="59">
        <f t="shared" si="34"/>
        <v>-0.10214144070085718</v>
      </c>
      <c r="AS46" s="59">
        <f t="shared" si="35"/>
        <v>-0.33471596461715281</v>
      </c>
      <c r="AT46" s="59">
        <f t="shared" si="36"/>
        <v>-0.70147044519538193</v>
      </c>
      <c r="AU46" s="59">
        <f t="shared" si="37"/>
        <v>-1</v>
      </c>
      <c r="AV46" s="59">
        <f t="shared" si="38"/>
        <v>0</v>
      </c>
      <c r="AW46" s="59">
        <f t="shared" si="39"/>
        <v>7.3753713124418141E-2</v>
      </c>
      <c r="AX46" s="59">
        <f t="shared" si="40"/>
        <v>-1</v>
      </c>
      <c r="AY46" s="60">
        <f t="shared" si="41"/>
        <v>0</v>
      </c>
      <c r="AZ46" s="65">
        <f t="shared" si="31"/>
        <v>-0.3064574137388974</v>
      </c>
    </row>
    <row r="47" spans="1:52" ht="38.25">
      <c r="A47" s="509" t="s">
        <v>43</v>
      </c>
      <c r="B47" s="495">
        <v>5335</v>
      </c>
      <c r="C47" s="496">
        <v>10144</v>
      </c>
      <c r="D47" s="463">
        <v>8686</v>
      </c>
      <c r="E47" s="496">
        <v>5560</v>
      </c>
      <c r="F47" s="496">
        <v>5047</v>
      </c>
      <c r="G47" s="496">
        <v>3507</v>
      </c>
      <c r="H47" s="496">
        <v>5765</v>
      </c>
      <c r="I47" s="496">
        <v>20593</v>
      </c>
      <c r="J47" s="496">
        <v>12528</v>
      </c>
      <c r="K47" s="501"/>
      <c r="L47" s="497">
        <v>26081</v>
      </c>
      <c r="M47" s="463"/>
      <c r="O47" s="58">
        <f t="shared" si="15"/>
        <v>1.8551675718794848E-3</v>
      </c>
      <c r="P47" s="59">
        <f t="shared" si="16"/>
        <v>3.2812455017921668E-3</v>
      </c>
      <c r="Q47" s="59">
        <f t="shared" si="17"/>
        <v>2.5771437082504796E-3</v>
      </c>
      <c r="R47" s="59">
        <f t="shared" si="18"/>
        <v>1.5780418317319236E-3</v>
      </c>
      <c r="S47" s="59">
        <f t="shared" si="19"/>
        <v>1.3711994857526478E-3</v>
      </c>
      <c r="T47" s="59">
        <f t="shared" si="20"/>
        <v>9.4609931641828973E-4</v>
      </c>
      <c r="U47" s="59">
        <f t="shared" si="21"/>
        <v>1.5481281210961123E-3</v>
      </c>
      <c r="V47" s="59">
        <f t="shared" si="22"/>
        <v>4.9818331104051925E-3</v>
      </c>
      <c r="W47" s="59">
        <f t="shared" si="23"/>
        <v>2.8926198019774549E-3</v>
      </c>
      <c r="X47" s="59">
        <f t="shared" si="24"/>
        <v>0</v>
      </c>
      <c r="Y47" s="60">
        <f t="shared" si="25"/>
        <v>5.4119277800949127E-3</v>
      </c>
      <c r="Z47" s="65">
        <f t="shared" si="26"/>
        <v>2.4039460208544242E-3</v>
      </c>
      <c r="AB47" s="68"/>
      <c r="AC47" s="59">
        <f t="shared" si="27"/>
        <v>0.90140581068416115</v>
      </c>
      <c r="AD47" s="59">
        <f t="shared" si="27"/>
        <v>-0.14373028391167197</v>
      </c>
      <c r="AE47" s="59">
        <f t="shared" si="27"/>
        <v>-0.35988947731982501</v>
      </c>
      <c r="AF47" s="59">
        <f t="shared" si="27"/>
        <v>-9.2266187050359716E-2</v>
      </c>
      <c r="AG47" s="59">
        <f t="shared" si="1"/>
        <v>-0.30513176144244103</v>
      </c>
      <c r="AH47" s="59">
        <f t="shared" si="2"/>
        <v>0.6438551468491589</v>
      </c>
      <c r="AI47" s="59">
        <f t="shared" si="3"/>
        <v>2.5720728534258455</v>
      </c>
      <c r="AJ47" s="59">
        <f t="shared" si="4"/>
        <v>-0.39163793522070611</v>
      </c>
      <c r="AK47" s="59">
        <f t="shared" si="5"/>
        <v>-1</v>
      </c>
      <c r="AL47" s="60" t="str">
        <f t="shared" si="28"/>
        <v/>
      </c>
      <c r="AM47" s="65">
        <f t="shared" si="29"/>
        <v>0.20274201844601794</v>
      </c>
      <c r="AO47" s="58"/>
      <c r="AP47" s="59">
        <f t="shared" si="32"/>
        <v>0.74841913626129775</v>
      </c>
      <c r="AQ47" s="59">
        <f t="shared" si="33"/>
        <v>-0.20457992002942127</v>
      </c>
      <c r="AR47" s="59">
        <f t="shared" si="34"/>
        <v>-0.40170995169625667</v>
      </c>
      <c r="AS47" s="59">
        <f t="shared" si="35"/>
        <v>-0.14758774255832441</v>
      </c>
      <c r="AT47" s="59">
        <f t="shared" si="36"/>
        <v>-0.34134165325123478</v>
      </c>
      <c r="AU47" s="59">
        <f t="shared" si="37"/>
        <v>0.56777751841280777</v>
      </c>
      <c r="AV47" s="59">
        <f t="shared" si="38"/>
        <v>2.4189058704305566</v>
      </c>
      <c r="AW47" s="59">
        <f t="shared" si="39"/>
        <v>-0.42439013645634027</v>
      </c>
      <c r="AX47" s="59">
        <f t="shared" si="40"/>
        <v>-1</v>
      </c>
      <c r="AY47" s="60">
        <f t="shared" si="41"/>
        <v>0</v>
      </c>
      <c r="AZ47" s="65">
        <f t="shared" si="31"/>
        <v>0.12154931211130848</v>
      </c>
    </row>
    <row r="48" spans="1:52" ht="38.25">
      <c r="A48" s="509" t="s">
        <v>44</v>
      </c>
      <c r="B48" s="495">
        <v>5335</v>
      </c>
      <c r="C48" s="496">
        <v>10144</v>
      </c>
      <c r="D48" s="463">
        <v>8686</v>
      </c>
      <c r="E48" s="496">
        <v>5560</v>
      </c>
      <c r="F48" s="496">
        <v>5047</v>
      </c>
      <c r="G48" s="496">
        <v>3507</v>
      </c>
      <c r="H48" s="496">
        <v>5765</v>
      </c>
      <c r="I48" s="496">
        <v>20593</v>
      </c>
      <c r="J48" s="496">
        <v>12528</v>
      </c>
      <c r="K48" s="501"/>
      <c r="L48" s="497">
        <v>26081</v>
      </c>
      <c r="M48" s="463"/>
      <c r="O48" s="58">
        <f t="shared" si="15"/>
        <v>1.8551675718794848E-3</v>
      </c>
      <c r="P48" s="59">
        <f t="shared" si="16"/>
        <v>3.2812455017921668E-3</v>
      </c>
      <c r="Q48" s="59">
        <f t="shared" si="17"/>
        <v>2.5771437082504796E-3</v>
      </c>
      <c r="R48" s="59">
        <f t="shared" si="18"/>
        <v>1.5780418317319236E-3</v>
      </c>
      <c r="S48" s="59">
        <f t="shared" si="19"/>
        <v>1.3711994857526478E-3</v>
      </c>
      <c r="T48" s="59">
        <f t="shared" si="20"/>
        <v>9.4609931641828973E-4</v>
      </c>
      <c r="U48" s="59">
        <f t="shared" si="21"/>
        <v>1.5481281210961123E-3</v>
      </c>
      <c r="V48" s="59">
        <f t="shared" si="22"/>
        <v>4.9818331104051925E-3</v>
      </c>
      <c r="W48" s="59">
        <f t="shared" si="23"/>
        <v>2.8926198019774549E-3</v>
      </c>
      <c r="X48" s="59">
        <f t="shared" si="24"/>
        <v>0</v>
      </c>
      <c r="Y48" s="60">
        <f t="shared" si="25"/>
        <v>5.4119277800949127E-3</v>
      </c>
      <c r="Z48" s="65">
        <f t="shared" si="26"/>
        <v>2.4039460208544242E-3</v>
      </c>
      <c r="AB48" s="68"/>
      <c r="AC48" s="59">
        <f t="shared" si="27"/>
        <v>0.90140581068416115</v>
      </c>
      <c r="AD48" s="59">
        <f t="shared" si="27"/>
        <v>-0.14373028391167197</v>
      </c>
      <c r="AE48" s="59">
        <f t="shared" si="27"/>
        <v>-0.35988947731982501</v>
      </c>
      <c r="AF48" s="59">
        <f t="shared" si="27"/>
        <v>-9.2266187050359716E-2</v>
      </c>
      <c r="AG48" s="59">
        <f t="shared" si="1"/>
        <v>-0.30513176144244103</v>
      </c>
      <c r="AH48" s="59">
        <f t="shared" si="2"/>
        <v>0.6438551468491589</v>
      </c>
      <c r="AI48" s="59">
        <f t="shared" si="3"/>
        <v>2.5720728534258455</v>
      </c>
      <c r="AJ48" s="59">
        <f t="shared" si="4"/>
        <v>-0.39163793522070611</v>
      </c>
      <c r="AK48" s="59">
        <f t="shared" si="5"/>
        <v>-1</v>
      </c>
      <c r="AL48" s="60" t="str">
        <f t="shared" si="28"/>
        <v/>
      </c>
      <c r="AM48" s="65">
        <f t="shared" si="29"/>
        <v>0.20274201844601794</v>
      </c>
      <c r="AO48" s="58"/>
      <c r="AP48" s="59">
        <f t="shared" si="32"/>
        <v>0.74841913626129775</v>
      </c>
      <c r="AQ48" s="59">
        <f t="shared" si="33"/>
        <v>-0.20457992002942127</v>
      </c>
      <c r="AR48" s="59">
        <f t="shared" si="34"/>
        <v>-0.40170995169625667</v>
      </c>
      <c r="AS48" s="59">
        <f t="shared" si="35"/>
        <v>-0.14758774255832441</v>
      </c>
      <c r="AT48" s="59">
        <f t="shared" si="36"/>
        <v>-0.34134165325123478</v>
      </c>
      <c r="AU48" s="59">
        <f t="shared" si="37"/>
        <v>0.56777751841280777</v>
      </c>
      <c r="AV48" s="59">
        <f t="shared" si="38"/>
        <v>2.4189058704305566</v>
      </c>
      <c r="AW48" s="59">
        <f t="shared" si="39"/>
        <v>-0.42439013645634027</v>
      </c>
      <c r="AX48" s="59">
        <f t="shared" si="40"/>
        <v>-1</v>
      </c>
      <c r="AY48" s="60">
        <f t="shared" si="41"/>
        <v>0</v>
      </c>
      <c r="AZ48" s="65">
        <f t="shared" si="31"/>
        <v>0.12154931211130848</v>
      </c>
    </row>
    <row r="49" spans="1:52" ht="25.5">
      <c r="A49" s="509" t="s">
        <v>45</v>
      </c>
      <c r="B49" s="495">
        <v>665110</v>
      </c>
      <c r="C49" s="496">
        <v>793407</v>
      </c>
      <c r="D49" s="463">
        <v>1176129</v>
      </c>
      <c r="E49" s="496">
        <v>1031999</v>
      </c>
      <c r="F49" s="496">
        <v>1096074</v>
      </c>
      <c r="G49" s="496">
        <v>1025425</v>
      </c>
      <c r="H49" s="496">
        <v>872948</v>
      </c>
      <c r="I49" s="496">
        <v>1111787</v>
      </c>
      <c r="J49" s="496">
        <v>1317692</v>
      </c>
      <c r="K49" s="496">
        <v>1131360</v>
      </c>
      <c r="L49" s="497">
        <v>1839608</v>
      </c>
      <c r="M49" s="463"/>
      <c r="O49" s="58">
        <f t="shared" si="15"/>
        <v>0.23128219376434189</v>
      </c>
      <c r="P49" s="59">
        <f t="shared" si="16"/>
        <v>0.25664068906155535</v>
      </c>
      <c r="Q49" s="59">
        <f t="shared" si="17"/>
        <v>0.34895849095566756</v>
      </c>
      <c r="R49" s="59">
        <f t="shared" si="18"/>
        <v>0.29290244465926502</v>
      </c>
      <c r="S49" s="59">
        <f t="shared" si="19"/>
        <v>0.29778801370058405</v>
      </c>
      <c r="T49" s="59">
        <f t="shared" si="20"/>
        <v>0.27663355903570708</v>
      </c>
      <c r="U49" s="59">
        <f t="shared" si="21"/>
        <v>0.23442070200426871</v>
      </c>
      <c r="V49" s="59">
        <f t="shared" si="22"/>
        <v>0.2689621370523021</v>
      </c>
      <c r="W49" s="59">
        <f t="shared" si="23"/>
        <v>0.30424504885913761</v>
      </c>
      <c r="X49" s="59">
        <f t="shared" si="24"/>
        <v>0.26503290305154692</v>
      </c>
      <c r="Y49" s="60">
        <f t="shared" si="25"/>
        <v>0.38172714388577283</v>
      </c>
      <c r="Z49" s="65">
        <f t="shared" si="26"/>
        <v>0.28714484782092264</v>
      </c>
      <c r="AB49" s="68"/>
      <c r="AC49" s="59">
        <f t="shared" si="27"/>
        <v>0.19289591195441358</v>
      </c>
      <c r="AD49" s="59">
        <f t="shared" si="27"/>
        <v>0.48237789684235199</v>
      </c>
      <c r="AE49" s="59">
        <f t="shared" si="27"/>
        <v>-0.12254608125469235</v>
      </c>
      <c r="AF49" s="59">
        <f t="shared" si="27"/>
        <v>6.2088238457595368E-2</v>
      </c>
      <c r="AG49" s="59">
        <f t="shared" si="1"/>
        <v>-6.445641443917105E-2</v>
      </c>
      <c r="AH49" s="59">
        <f t="shared" si="2"/>
        <v>-0.14869639417802372</v>
      </c>
      <c r="AI49" s="59">
        <f t="shared" si="3"/>
        <v>0.2736004893762285</v>
      </c>
      <c r="AJ49" s="59">
        <f t="shared" si="4"/>
        <v>0.1852018417196819</v>
      </c>
      <c r="AK49" s="59">
        <f t="shared" si="5"/>
        <v>-0.14140785555349811</v>
      </c>
      <c r="AL49" s="60">
        <f t="shared" si="28"/>
        <v>0.62601470796209879</v>
      </c>
      <c r="AM49" s="65">
        <f t="shared" si="29"/>
        <v>0.1345072340886985</v>
      </c>
      <c r="AO49" s="58"/>
      <c r="AP49" s="59">
        <f t="shared" si="32"/>
        <v>9.691578110750676E-2</v>
      </c>
      <c r="AQ49" s="59">
        <f t="shared" si="33"/>
        <v>0.37703473928690379</v>
      </c>
      <c r="AR49" s="59">
        <f t="shared" si="34"/>
        <v>-0.17987296126244734</v>
      </c>
      <c r="AS49" s="59">
        <f t="shared" si="35"/>
        <v>-2.640399607854782E-3</v>
      </c>
      <c r="AT49" s="59">
        <f t="shared" si="36"/>
        <v>-0.11320800522405117</v>
      </c>
      <c r="AU49" s="59">
        <f t="shared" si="37"/>
        <v>-0.18809473139428523</v>
      </c>
      <c r="AV49" s="59">
        <f t="shared" si="38"/>
        <v>0.21898974863727849</v>
      </c>
      <c r="AW49" s="59">
        <f t="shared" si="39"/>
        <v>0.12139449495664856</v>
      </c>
      <c r="AX49" s="59">
        <f t="shared" si="40"/>
        <v>-0.20257068408423706</v>
      </c>
      <c r="AY49" s="60">
        <f t="shared" si="41"/>
        <v>0.59413206662950868</v>
      </c>
      <c r="AZ49" s="65">
        <f t="shared" si="31"/>
        <v>7.2208004904497067E-2</v>
      </c>
    </row>
    <row r="50" spans="1:52" ht="38.25">
      <c r="A50" s="509" t="s">
        <v>46</v>
      </c>
      <c r="B50" s="503"/>
      <c r="C50" s="501"/>
      <c r="D50" s="463">
        <v>0</v>
      </c>
      <c r="E50" s="501"/>
      <c r="F50" s="501"/>
      <c r="G50" s="501"/>
      <c r="H50" s="501"/>
      <c r="I50" s="501"/>
      <c r="J50" s="501"/>
      <c r="K50" s="496">
        <v>34106</v>
      </c>
      <c r="L50" s="502"/>
      <c r="M50" s="463"/>
      <c r="O50" s="58">
        <f t="shared" si="15"/>
        <v>0</v>
      </c>
      <c r="P50" s="59">
        <f t="shared" si="16"/>
        <v>0</v>
      </c>
      <c r="Q50" s="59">
        <f t="shared" si="17"/>
        <v>0</v>
      </c>
      <c r="R50" s="59">
        <f t="shared" si="18"/>
        <v>0</v>
      </c>
      <c r="S50" s="59">
        <f t="shared" si="19"/>
        <v>0</v>
      </c>
      <c r="T50" s="59">
        <f t="shared" si="20"/>
        <v>0</v>
      </c>
      <c r="U50" s="59">
        <f t="shared" si="21"/>
        <v>0</v>
      </c>
      <c r="V50" s="59">
        <f t="shared" si="22"/>
        <v>0</v>
      </c>
      <c r="W50" s="59">
        <f t="shared" si="23"/>
        <v>0</v>
      </c>
      <c r="X50" s="59">
        <f t="shared" si="24"/>
        <v>7.989686917935987E-3</v>
      </c>
      <c r="Y50" s="60">
        <f t="shared" si="25"/>
        <v>0</v>
      </c>
      <c r="Z50" s="65">
        <f t="shared" si="26"/>
        <v>7.2633517435781697E-4</v>
      </c>
      <c r="AB50" s="68"/>
      <c r="AC50" s="59" t="str">
        <f t="shared" si="27"/>
        <v/>
      </c>
      <c r="AD50" s="59" t="str">
        <f t="shared" si="27"/>
        <v/>
      </c>
      <c r="AE50" s="59" t="str">
        <f t="shared" si="27"/>
        <v/>
      </c>
      <c r="AF50" s="59" t="str">
        <f t="shared" si="27"/>
        <v/>
      </c>
      <c r="AG50" s="59" t="str">
        <f t="shared" si="1"/>
        <v/>
      </c>
      <c r="AH50" s="59" t="str">
        <f t="shared" si="2"/>
        <v/>
      </c>
      <c r="AI50" s="59" t="str">
        <f t="shared" si="3"/>
        <v/>
      </c>
      <c r="AJ50" s="59" t="str">
        <f t="shared" si="4"/>
        <v/>
      </c>
      <c r="AK50" s="59" t="str">
        <f t="shared" si="5"/>
        <v/>
      </c>
      <c r="AL50" s="60">
        <f t="shared" si="28"/>
        <v>-1</v>
      </c>
      <c r="AM50" s="65">
        <f t="shared" si="29"/>
        <v>-1</v>
      </c>
      <c r="AO50" s="58"/>
      <c r="AP50" s="59">
        <f t="shared" si="32"/>
        <v>0</v>
      </c>
      <c r="AQ50" s="59">
        <f t="shared" si="33"/>
        <v>0</v>
      </c>
      <c r="AR50" s="59">
        <f t="shared" si="34"/>
        <v>0</v>
      </c>
      <c r="AS50" s="59">
        <f t="shared" si="35"/>
        <v>0</v>
      </c>
      <c r="AT50" s="59">
        <f t="shared" si="36"/>
        <v>0</v>
      </c>
      <c r="AU50" s="59">
        <f t="shared" si="37"/>
        <v>0</v>
      </c>
      <c r="AV50" s="59">
        <f t="shared" si="38"/>
        <v>0</v>
      </c>
      <c r="AW50" s="59">
        <f t="shared" si="39"/>
        <v>0</v>
      </c>
      <c r="AX50" s="59">
        <f t="shared" si="40"/>
        <v>0</v>
      </c>
      <c r="AY50" s="60">
        <f t="shared" si="41"/>
        <v>-1</v>
      </c>
      <c r="AZ50" s="65">
        <f t="shared" si="31"/>
        <v>-0.1</v>
      </c>
    </row>
    <row r="51" spans="1:52" ht="51">
      <c r="A51" s="509" t="s">
        <v>47</v>
      </c>
      <c r="B51" s="503"/>
      <c r="C51" s="501"/>
      <c r="D51" s="463">
        <v>0</v>
      </c>
      <c r="E51" s="501"/>
      <c r="F51" s="501"/>
      <c r="G51" s="501"/>
      <c r="H51" s="496">
        <v>12362</v>
      </c>
      <c r="I51" s="501"/>
      <c r="J51" s="501"/>
      <c r="K51" s="496">
        <v>16597</v>
      </c>
      <c r="L51" s="502"/>
      <c r="M51" s="463"/>
      <c r="O51" s="58">
        <f t="shared" si="15"/>
        <v>0</v>
      </c>
      <c r="P51" s="59">
        <f t="shared" si="16"/>
        <v>0</v>
      </c>
      <c r="Q51" s="59">
        <f t="shared" si="17"/>
        <v>0</v>
      </c>
      <c r="R51" s="59">
        <f t="shared" si="18"/>
        <v>0</v>
      </c>
      <c r="S51" s="59">
        <f t="shared" si="19"/>
        <v>0</v>
      </c>
      <c r="T51" s="59">
        <f t="shared" si="20"/>
        <v>0</v>
      </c>
      <c r="U51" s="59">
        <f t="shared" si="21"/>
        <v>3.3196808036409608E-3</v>
      </c>
      <c r="V51" s="59">
        <f t="shared" si="22"/>
        <v>0</v>
      </c>
      <c r="W51" s="59">
        <f t="shared" si="23"/>
        <v>0</v>
      </c>
      <c r="X51" s="59">
        <f t="shared" si="24"/>
        <v>3.8880206936311376E-3</v>
      </c>
      <c r="Y51" s="60">
        <f t="shared" si="25"/>
        <v>0</v>
      </c>
      <c r="Z51" s="65">
        <f t="shared" si="26"/>
        <v>6.5524559066109994E-4</v>
      </c>
      <c r="AB51" s="68"/>
      <c r="AC51" s="59" t="str">
        <f t="shared" si="27"/>
        <v/>
      </c>
      <c r="AD51" s="59" t="str">
        <f t="shared" si="27"/>
        <v/>
      </c>
      <c r="AE51" s="59" t="str">
        <f t="shared" si="27"/>
        <v/>
      </c>
      <c r="AF51" s="59" t="str">
        <f t="shared" si="27"/>
        <v/>
      </c>
      <c r="AG51" s="59" t="str">
        <f t="shared" si="1"/>
        <v/>
      </c>
      <c r="AH51" s="59" t="str">
        <f t="shared" si="2"/>
        <v/>
      </c>
      <c r="AI51" s="59">
        <f t="shared" si="3"/>
        <v>-1</v>
      </c>
      <c r="AJ51" s="59" t="str">
        <f t="shared" si="4"/>
        <v/>
      </c>
      <c r="AK51" s="59" t="str">
        <f t="shared" si="5"/>
        <v/>
      </c>
      <c r="AL51" s="60">
        <f t="shared" si="28"/>
        <v>-1</v>
      </c>
      <c r="AM51" s="65">
        <f t="shared" si="29"/>
        <v>-1</v>
      </c>
      <c r="AO51" s="58"/>
      <c r="AP51" s="59">
        <f t="shared" si="32"/>
        <v>0</v>
      </c>
      <c r="AQ51" s="59">
        <f t="shared" si="33"/>
        <v>0</v>
      </c>
      <c r="AR51" s="59">
        <f t="shared" si="34"/>
        <v>0</v>
      </c>
      <c r="AS51" s="59">
        <f t="shared" si="35"/>
        <v>0</v>
      </c>
      <c r="AT51" s="59">
        <f t="shared" si="36"/>
        <v>0</v>
      </c>
      <c r="AU51" s="59">
        <f t="shared" si="37"/>
        <v>0</v>
      </c>
      <c r="AV51" s="59">
        <f t="shared" si="38"/>
        <v>-1</v>
      </c>
      <c r="AW51" s="59">
        <f t="shared" si="39"/>
        <v>0</v>
      </c>
      <c r="AX51" s="59">
        <f t="shared" si="40"/>
        <v>0</v>
      </c>
      <c r="AY51" s="60">
        <f t="shared" si="41"/>
        <v>-1</v>
      </c>
      <c r="AZ51" s="65">
        <f t="shared" si="31"/>
        <v>-0.2</v>
      </c>
    </row>
    <row r="52" spans="1:52" ht="38.25">
      <c r="A52" s="509" t="s">
        <v>48</v>
      </c>
      <c r="B52" s="503"/>
      <c r="C52" s="501"/>
      <c r="D52" s="463">
        <v>0</v>
      </c>
      <c r="E52" s="501"/>
      <c r="F52" s="501"/>
      <c r="G52" s="501"/>
      <c r="H52" s="501"/>
      <c r="I52" s="501"/>
      <c r="J52" s="501"/>
      <c r="K52" s="496">
        <v>14955</v>
      </c>
      <c r="L52" s="502"/>
      <c r="M52" s="463"/>
      <c r="O52" s="58">
        <f t="shared" si="15"/>
        <v>0</v>
      </c>
      <c r="P52" s="59">
        <f t="shared" si="16"/>
        <v>0</v>
      </c>
      <c r="Q52" s="59">
        <f t="shared" si="17"/>
        <v>0</v>
      </c>
      <c r="R52" s="59">
        <f t="shared" si="18"/>
        <v>0</v>
      </c>
      <c r="S52" s="59">
        <f t="shared" si="19"/>
        <v>0</v>
      </c>
      <c r="T52" s="59">
        <f t="shared" si="20"/>
        <v>0</v>
      </c>
      <c r="U52" s="59">
        <f t="shared" si="21"/>
        <v>0</v>
      </c>
      <c r="V52" s="59">
        <f t="shared" si="22"/>
        <v>0</v>
      </c>
      <c r="W52" s="59">
        <f t="shared" si="23"/>
        <v>0</v>
      </c>
      <c r="X52" s="59">
        <f t="shared" si="24"/>
        <v>3.5033650342383362E-3</v>
      </c>
      <c r="Y52" s="60">
        <f t="shared" si="25"/>
        <v>0</v>
      </c>
      <c r="Z52" s="65">
        <f t="shared" si="26"/>
        <v>3.1848773038530329E-4</v>
      </c>
      <c r="AB52" s="68"/>
      <c r="AC52" s="59" t="str">
        <f t="shared" si="27"/>
        <v/>
      </c>
      <c r="AD52" s="59" t="str">
        <f t="shared" si="27"/>
        <v/>
      </c>
      <c r="AE52" s="59" t="str">
        <f t="shared" si="27"/>
        <v/>
      </c>
      <c r="AF52" s="59" t="str">
        <f t="shared" si="27"/>
        <v/>
      </c>
      <c r="AG52" s="59" t="str">
        <f t="shared" si="1"/>
        <v/>
      </c>
      <c r="AH52" s="59" t="str">
        <f t="shared" si="2"/>
        <v/>
      </c>
      <c r="AI52" s="59" t="str">
        <f t="shared" si="3"/>
        <v/>
      </c>
      <c r="AJ52" s="59" t="str">
        <f t="shared" si="4"/>
        <v/>
      </c>
      <c r="AK52" s="59" t="str">
        <f t="shared" si="5"/>
        <v/>
      </c>
      <c r="AL52" s="60">
        <f t="shared" si="28"/>
        <v>-1</v>
      </c>
      <c r="AM52" s="65">
        <f t="shared" si="29"/>
        <v>-1</v>
      </c>
      <c r="AO52" s="58"/>
      <c r="AP52" s="59">
        <f t="shared" si="32"/>
        <v>0</v>
      </c>
      <c r="AQ52" s="59">
        <f t="shared" si="33"/>
        <v>0</v>
      </c>
      <c r="AR52" s="59">
        <f t="shared" si="34"/>
        <v>0</v>
      </c>
      <c r="AS52" s="59">
        <f t="shared" si="35"/>
        <v>0</v>
      </c>
      <c r="AT52" s="59">
        <f t="shared" si="36"/>
        <v>0</v>
      </c>
      <c r="AU52" s="59">
        <f t="shared" si="37"/>
        <v>0</v>
      </c>
      <c r="AV52" s="59">
        <f t="shared" si="38"/>
        <v>0</v>
      </c>
      <c r="AW52" s="59">
        <f t="shared" si="39"/>
        <v>0</v>
      </c>
      <c r="AX52" s="59">
        <f t="shared" si="40"/>
        <v>0</v>
      </c>
      <c r="AY52" s="60">
        <f t="shared" si="41"/>
        <v>-1</v>
      </c>
      <c r="AZ52" s="65">
        <f t="shared" si="31"/>
        <v>-0.1</v>
      </c>
    </row>
    <row r="53" spans="1:52" ht="63.75">
      <c r="A53" s="509" t="s">
        <v>49</v>
      </c>
      <c r="B53" s="503"/>
      <c r="C53" s="501"/>
      <c r="D53" s="463">
        <v>0</v>
      </c>
      <c r="E53" s="501"/>
      <c r="F53" s="501"/>
      <c r="G53" s="501"/>
      <c r="H53" s="501"/>
      <c r="I53" s="501"/>
      <c r="J53" s="501"/>
      <c r="K53" s="496">
        <v>14955</v>
      </c>
      <c r="L53" s="502"/>
      <c r="M53" s="463"/>
      <c r="O53" s="58">
        <f t="shared" si="15"/>
        <v>0</v>
      </c>
      <c r="P53" s="59">
        <f t="shared" si="16"/>
        <v>0</v>
      </c>
      <c r="Q53" s="59">
        <f t="shared" si="17"/>
        <v>0</v>
      </c>
      <c r="R53" s="59">
        <f t="shared" si="18"/>
        <v>0</v>
      </c>
      <c r="S53" s="59">
        <f t="shared" si="19"/>
        <v>0</v>
      </c>
      <c r="T53" s="59">
        <f t="shared" si="20"/>
        <v>0</v>
      </c>
      <c r="U53" s="59">
        <f t="shared" si="21"/>
        <v>0</v>
      </c>
      <c r="V53" s="59">
        <f t="shared" si="22"/>
        <v>0</v>
      </c>
      <c r="W53" s="59">
        <f t="shared" si="23"/>
        <v>0</v>
      </c>
      <c r="X53" s="59">
        <f t="shared" si="24"/>
        <v>3.5033650342383362E-3</v>
      </c>
      <c r="Y53" s="60">
        <f t="shared" si="25"/>
        <v>0</v>
      </c>
      <c r="Z53" s="65">
        <f t="shared" si="26"/>
        <v>3.1848773038530329E-4</v>
      </c>
      <c r="AB53" s="68"/>
      <c r="AC53" s="59" t="str">
        <f t="shared" si="27"/>
        <v/>
      </c>
      <c r="AD53" s="59" t="str">
        <f t="shared" si="27"/>
        <v/>
      </c>
      <c r="AE53" s="59" t="str">
        <f t="shared" si="27"/>
        <v/>
      </c>
      <c r="AF53" s="59" t="str">
        <f t="shared" si="27"/>
        <v/>
      </c>
      <c r="AG53" s="59" t="str">
        <f t="shared" si="1"/>
        <v/>
      </c>
      <c r="AH53" s="59" t="str">
        <f t="shared" si="2"/>
        <v/>
      </c>
      <c r="AI53" s="59" t="str">
        <f t="shared" si="3"/>
        <v/>
      </c>
      <c r="AJ53" s="59" t="str">
        <f t="shared" si="4"/>
        <v/>
      </c>
      <c r="AK53" s="59" t="str">
        <f t="shared" si="5"/>
        <v/>
      </c>
      <c r="AL53" s="60">
        <f t="shared" si="28"/>
        <v>-1</v>
      </c>
      <c r="AM53" s="65">
        <f t="shared" si="29"/>
        <v>-1</v>
      </c>
      <c r="AO53" s="58"/>
      <c r="AP53" s="59">
        <f t="shared" si="32"/>
        <v>0</v>
      </c>
      <c r="AQ53" s="59">
        <f t="shared" si="33"/>
        <v>0</v>
      </c>
      <c r="AR53" s="59">
        <f t="shared" si="34"/>
        <v>0</v>
      </c>
      <c r="AS53" s="59">
        <f t="shared" si="35"/>
        <v>0</v>
      </c>
      <c r="AT53" s="59">
        <f t="shared" si="36"/>
        <v>0</v>
      </c>
      <c r="AU53" s="59">
        <f t="shared" si="37"/>
        <v>0</v>
      </c>
      <c r="AV53" s="59">
        <f t="shared" si="38"/>
        <v>0</v>
      </c>
      <c r="AW53" s="59">
        <f t="shared" si="39"/>
        <v>0</v>
      </c>
      <c r="AX53" s="59">
        <f t="shared" si="40"/>
        <v>0</v>
      </c>
      <c r="AY53" s="60">
        <f t="shared" si="41"/>
        <v>-1</v>
      </c>
      <c r="AZ53" s="65">
        <f t="shared" si="31"/>
        <v>-0.1</v>
      </c>
    </row>
    <row r="54" spans="1:52" ht="38.25">
      <c r="A54" s="509" t="s">
        <v>50</v>
      </c>
      <c r="B54" s="495">
        <v>316039</v>
      </c>
      <c r="C54" s="496">
        <v>261917</v>
      </c>
      <c r="D54" s="463">
        <v>0</v>
      </c>
      <c r="E54" s="501"/>
      <c r="F54" s="501"/>
      <c r="G54" s="501"/>
      <c r="H54" s="496">
        <v>33502</v>
      </c>
      <c r="I54" s="501"/>
      <c r="J54" s="501"/>
      <c r="K54" s="496">
        <v>9844</v>
      </c>
      <c r="L54" s="502"/>
      <c r="M54" s="463"/>
      <c r="O54" s="58">
        <f t="shared" si="15"/>
        <v>0.10989790145252493</v>
      </c>
      <c r="P54" s="59">
        <f t="shared" si="16"/>
        <v>8.4721409512312593E-2</v>
      </c>
      <c r="Q54" s="59">
        <f t="shared" si="17"/>
        <v>0</v>
      </c>
      <c r="R54" s="59">
        <f t="shared" si="18"/>
        <v>0</v>
      </c>
      <c r="S54" s="59">
        <f t="shared" si="19"/>
        <v>0</v>
      </c>
      <c r="T54" s="59">
        <f t="shared" si="20"/>
        <v>0</v>
      </c>
      <c r="U54" s="59">
        <f t="shared" si="21"/>
        <v>8.9965981462206343E-3</v>
      </c>
      <c r="V54" s="59">
        <f t="shared" si="22"/>
        <v>0</v>
      </c>
      <c r="W54" s="59">
        <f t="shared" si="23"/>
        <v>0</v>
      </c>
      <c r="X54" s="59">
        <f t="shared" si="24"/>
        <v>2.3060598727544087E-3</v>
      </c>
      <c r="Y54" s="60">
        <f t="shared" si="25"/>
        <v>0</v>
      </c>
      <c r="Z54" s="65">
        <f t="shared" si="26"/>
        <v>1.8720178998528417E-2</v>
      </c>
      <c r="AB54" s="68"/>
      <c r="AC54" s="59">
        <f t="shared" si="27"/>
        <v>-0.17125101648847141</v>
      </c>
      <c r="AD54" s="59">
        <f t="shared" si="27"/>
        <v>-1</v>
      </c>
      <c r="AE54" s="59" t="str">
        <f t="shared" si="27"/>
        <v/>
      </c>
      <c r="AF54" s="59" t="str">
        <f t="shared" si="27"/>
        <v/>
      </c>
      <c r="AG54" s="59" t="str">
        <f t="shared" si="1"/>
        <v/>
      </c>
      <c r="AH54" s="59" t="str">
        <f t="shared" si="2"/>
        <v/>
      </c>
      <c r="AI54" s="59">
        <f t="shared" si="3"/>
        <v>-1</v>
      </c>
      <c r="AJ54" s="59" t="str">
        <f t="shared" si="4"/>
        <v/>
      </c>
      <c r="AK54" s="59" t="str">
        <f t="shared" si="5"/>
        <v/>
      </c>
      <c r="AL54" s="60">
        <f t="shared" si="28"/>
        <v>-1</v>
      </c>
      <c r="AM54" s="65">
        <f t="shared" si="29"/>
        <v>-0.79281275412211782</v>
      </c>
      <c r="AO54" s="58"/>
      <c r="AP54" s="59">
        <f t="shared" si="32"/>
        <v>-0.2379319691848012</v>
      </c>
      <c r="AQ54" s="59">
        <f t="shared" si="33"/>
        <v>-1</v>
      </c>
      <c r="AR54" s="59">
        <f t="shared" si="34"/>
        <v>0</v>
      </c>
      <c r="AS54" s="59">
        <f t="shared" si="35"/>
        <v>0</v>
      </c>
      <c r="AT54" s="59">
        <f t="shared" si="36"/>
        <v>0</v>
      </c>
      <c r="AU54" s="59">
        <f t="shared" si="37"/>
        <v>0</v>
      </c>
      <c r="AV54" s="59">
        <f t="shared" si="38"/>
        <v>-1</v>
      </c>
      <c r="AW54" s="59">
        <f t="shared" si="39"/>
        <v>0</v>
      </c>
      <c r="AX54" s="59">
        <f t="shared" si="40"/>
        <v>0</v>
      </c>
      <c r="AY54" s="60">
        <f t="shared" si="41"/>
        <v>-1</v>
      </c>
      <c r="AZ54" s="65">
        <f t="shared" si="31"/>
        <v>-0.32379319691848013</v>
      </c>
    </row>
    <row r="55" spans="1:52" ht="38.25">
      <c r="A55" s="509" t="s">
        <v>51</v>
      </c>
      <c r="B55" s="495">
        <v>316039</v>
      </c>
      <c r="C55" s="496">
        <v>261917</v>
      </c>
      <c r="D55" s="463">
        <v>0</v>
      </c>
      <c r="E55" s="501"/>
      <c r="F55" s="501"/>
      <c r="G55" s="501"/>
      <c r="H55" s="496">
        <v>33502</v>
      </c>
      <c r="I55" s="501"/>
      <c r="J55" s="501"/>
      <c r="K55" s="496">
        <v>9844</v>
      </c>
      <c r="L55" s="502"/>
      <c r="M55" s="463"/>
      <c r="O55" s="58">
        <f t="shared" si="15"/>
        <v>0.10989790145252493</v>
      </c>
      <c r="P55" s="59">
        <f t="shared" si="16"/>
        <v>8.4721409512312593E-2</v>
      </c>
      <c r="Q55" s="59">
        <f t="shared" si="17"/>
        <v>0</v>
      </c>
      <c r="R55" s="59">
        <f t="shared" si="18"/>
        <v>0</v>
      </c>
      <c r="S55" s="59">
        <f t="shared" si="19"/>
        <v>0</v>
      </c>
      <c r="T55" s="59">
        <f t="shared" si="20"/>
        <v>0</v>
      </c>
      <c r="U55" s="59">
        <f t="shared" si="21"/>
        <v>8.9965981462206343E-3</v>
      </c>
      <c r="V55" s="59">
        <f t="shared" si="22"/>
        <v>0</v>
      </c>
      <c r="W55" s="59">
        <f t="shared" si="23"/>
        <v>0</v>
      </c>
      <c r="X55" s="59">
        <f t="shared" si="24"/>
        <v>2.3060598727544087E-3</v>
      </c>
      <c r="Y55" s="60">
        <f t="shared" si="25"/>
        <v>0</v>
      </c>
      <c r="Z55" s="65">
        <f t="shared" si="26"/>
        <v>1.8720178998528417E-2</v>
      </c>
      <c r="AB55" s="68"/>
      <c r="AC55" s="59">
        <f t="shared" si="27"/>
        <v>-0.17125101648847141</v>
      </c>
      <c r="AD55" s="59">
        <f t="shared" si="27"/>
        <v>-1</v>
      </c>
      <c r="AE55" s="59" t="str">
        <f t="shared" si="27"/>
        <v/>
      </c>
      <c r="AF55" s="59" t="str">
        <f t="shared" si="27"/>
        <v/>
      </c>
      <c r="AG55" s="59" t="str">
        <f t="shared" si="1"/>
        <v/>
      </c>
      <c r="AH55" s="59" t="str">
        <f t="shared" si="2"/>
        <v/>
      </c>
      <c r="AI55" s="59">
        <f t="shared" si="3"/>
        <v>-1</v>
      </c>
      <c r="AJ55" s="59" t="str">
        <f t="shared" si="4"/>
        <v/>
      </c>
      <c r="AK55" s="59" t="str">
        <f t="shared" si="5"/>
        <v/>
      </c>
      <c r="AL55" s="60">
        <f t="shared" si="28"/>
        <v>-1</v>
      </c>
      <c r="AM55" s="65">
        <f t="shared" si="29"/>
        <v>-0.79281275412211782</v>
      </c>
      <c r="AO55" s="58"/>
      <c r="AP55" s="59">
        <f t="shared" si="32"/>
        <v>-0.2379319691848012</v>
      </c>
      <c r="AQ55" s="59">
        <f t="shared" si="33"/>
        <v>-1</v>
      </c>
      <c r="AR55" s="59">
        <f t="shared" si="34"/>
        <v>0</v>
      </c>
      <c r="AS55" s="59">
        <f t="shared" si="35"/>
        <v>0</v>
      </c>
      <c r="AT55" s="59">
        <f t="shared" si="36"/>
        <v>0</v>
      </c>
      <c r="AU55" s="59">
        <f t="shared" si="37"/>
        <v>0</v>
      </c>
      <c r="AV55" s="59">
        <f t="shared" si="38"/>
        <v>-1</v>
      </c>
      <c r="AW55" s="59">
        <f t="shared" si="39"/>
        <v>0</v>
      </c>
      <c r="AX55" s="59">
        <f t="shared" si="40"/>
        <v>0</v>
      </c>
      <c r="AY55" s="60">
        <f t="shared" si="41"/>
        <v>-1</v>
      </c>
      <c r="AZ55" s="65">
        <f t="shared" si="31"/>
        <v>-0.32379319691848013</v>
      </c>
    </row>
    <row r="56" spans="1:52" ht="38.25">
      <c r="A56" s="509" t="s">
        <v>52</v>
      </c>
      <c r="B56" s="503"/>
      <c r="C56" s="501"/>
      <c r="D56" s="463">
        <v>0</v>
      </c>
      <c r="E56" s="501"/>
      <c r="F56" s="501"/>
      <c r="G56" s="501"/>
      <c r="H56" s="501"/>
      <c r="I56" s="501"/>
      <c r="J56" s="501"/>
      <c r="K56" s="496">
        <v>44398</v>
      </c>
      <c r="L56" s="502"/>
      <c r="M56" s="463"/>
      <c r="O56" s="58">
        <f t="shared" si="15"/>
        <v>0</v>
      </c>
      <c r="P56" s="59">
        <f t="shared" si="16"/>
        <v>0</v>
      </c>
      <c r="Q56" s="59">
        <f t="shared" si="17"/>
        <v>0</v>
      </c>
      <c r="R56" s="59">
        <f t="shared" si="18"/>
        <v>0</v>
      </c>
      <c r="S56" s="59">
        <f t="shared" si="19"/>
        <v>0</v>
      </c>
      <c r="T56" s="59">
        <f t="shared" si="20"/>
        <v>0</v>
      </c>
      <c r="U56" s="59">
        <f t="shared" si="21"/>
        <v>0</v>
      </c>
      <c r="V56" s="59">
        <f t="shared" si="22"/>
        <v>0</v>
      </c>
      <c r="W56" s="59">
        <f t="shared" si="23"/>
        <v>0</v>
      </c>
      <c r="X56" s="59">
        <f t="shared" si="24"/>
        <v>1.0400695472424851E-2</v>
      </c>
      <c r="Y56" s="60">
        <f t="shared" si="25"/>
        <v>0</v>
      </c>
      <c r="Z56" s="65">
        <f t="shared" si="26"/>
        <v>9.4551777022044102E-4</v>
      </c>
      <c r="AB56" s="68"/>
      <c r="AC56" s="59" t="str">
        <f t="shared" si="27"/>
        <v/>
      </c>
      <c r="AD56" s="59" t="str">
        <f t="shared" si="27"/>
        <v/>
      </c>
      <c r="AE56" s="59" t="str">
        <f t="shared" si="27"/>
        <v/>
      </c>
      <c r="AF56" s="59" t="str">
        <f t="shared" si="27"/>
        <v/>
      </c>
      <c r="AG56" s="59" t="str">
        <f t="shared" si="1"/>
        <v/>
      </c>
      <c r="AH56" s="59" t="str">
        <f t="shared" si="2"/>
        <v/>
      </c>
      <c r="AI56" s="59" t="str">
        <f t="shared" si="3"/>
        <v/>
      </c>
      <c r="AJ56" s="59" t="str">
        <f t="shared" si="4"/>
        <v/>
      </c>
      <c r="AK56" s="59" t="str">
        <f t="shared" si="5"/>
        <v/>
      </c>
      <c r="AL56" s="60">
        <f t="shared" si="28"/>
        <v>-1</v>
      </c>
      <c r="AM56" s="65">
        <f t="shared" si="29"/>
        <v>-1</v>
      </c>
      <c r="AO56" s="58"/>
      <c r="AP56" s="59">
        <f t="shared" si="32"/>
        <v>0</v>
      </c>
      <c r="AQ56" s="59">
        <f t="shared" si="33"/>
        <v>0</v>
      </c>
      <c r="AR56" s="59">
        <f t="shared" si="34"/>
        <v>0</v>
      </c>
      <c r="AS56" s="59">
        <f t="shared" si="35"/>
        <v>0</v>
      </c>
      <c r="AT56" s="59">
        <f t="shared" si="36"/>
        <v>0</v>
      </c>
      <c r="AU56" s="59">
        <f t="shared" si="37"/>
        <v>0</v>
      </c>
      <c r="AV56" s="59">
        <f t="shared" si="38"/>
        <v>0</v>
      </c>
      <c r="AW56" s="59">
        <f t="shared" si="39"/>
        <v>0</v>
      </c>
      <c r="AX56" s="59">
        <f t="shared" si="40"/>
        <v>0</v>
      </c>
      <c r="AY56" s="60">
        <f t="shared" si="41"/>
        <v>-1</v>
      </c>
      <c r="AZ56" s="65">
        <f t="shared" si="31"/>
        <v>-0.1</v>
      </c>
    </row>
    <row r="57" spans="1:52" ht="38.25">
      <c r="A57" s="509" t="s">
        <v>53</v>
      </c>
      <c r="B57" s="503"/>
      <c r="C57" s="501"/>
      <c r="D57" s="463">
        <v>0</v>
      </c>
      <c r="E57" s="501"/>
      <c r="F57" s="501"/>
      <c r="G57" s="501"/>
      <c r="H57" s="501"/>
      <c r="I57" s="501"/>
      <c r="J57" s="501"/>
      <c r="K57" s="496">
        <v>44398</v>
      </c>
      <c r="L57" s="502"/>
      <c r="M57" s="463"/>
      <c r="O57" s="58">
        <f t="shared" si="15"/>
        <v>0</v>
      </c>
      <c r="P57" s="59">
        <f t="shared" si="16"/>
        <v>0</v>
      </c>
      <c r="Q57" s="59">
        <f t="shared" si="17"/>
        <v>0</v>
      </c>
      <c r="R57" s="59">
        <f t="shared" si="18"/>
        <v>0</v>
      </c>
      <c r="S57" s="59">
        <f t="shared" si="19"/>
        <v>0</v>
      </c>
      <c r="T57" s="59">
        <f t="shared" si="20"/>
        <v>0</v>
      </c>
      <c r="U57" s="59">
        <f t="shared" si="21"/>
        <v>0</v>
      </c>
      <c r="V57" s="59">
        <f t="shared" si="22"/>
        <v>0</v>
      </c>
      <c r="W57" s="59">
        <f t="shared" si="23"/>
        <v>0</v>
      </c>
      <c r="X57" s="59">
        <f t="shared" si="24"/>
        <v>1.0400695472424851E-2</v>
      </c>
      <c r="Y57" s="60">
        <f t="shared" si="25"/>
        <v>0</v>
      </c>
      <c r="Z57" s="65">
        <f t="shared" si="26"/>
        <v>9.4551777022044102E-4</v>
      </c>
      <c r="AB57" s="68"/>
      <c r="AC57" s="59" t="str">
        <f t="shared" si="27"/>
        <v/>
      </c>
      <c r="AD57" s="59" t="str">
        <f t="shared" si="27"/>
        <v/>
      </c>
      <c r="AE57" s="59" t="str">
        <f t="shared" si="27"/>
        <v/>
      </c>
      <c r="AF57" s="59" t="str">
        <f t="shared" si="27"/>
        <v/>
      </c>
      <c r="AG57" s="59" t="str">
        <f t="shared" si="1"/>
        <v/>
      </c>
      <c r="AH57" s="59" t="str">
        <f t="shared" si="2"/>
        <v/>
      </c>
      <c r="AI57" s="59" t="str">
        <f t="shared" si="3"/>
        <v/>
      </c>
      <c r="AJ57" s="59" t="str">
        <f t="shared" si="4"/>
        <v/>
      </c>
      <c r="AK57" s="59" t="str">
        <f t="shared" si="5"/>
        <v/>
      </c>
      <c r="AL57" s="60">
        <f t="shared" si="28"/>
        <v>-1</v>
      </c>
      <c r="AM57" s="65">
        <f t="shared" si="29"/>
        <v>-1</v>
      </c>
      <c r="AO57" s="58"/>
      <c r="AP57" s="59">
        <f t="shared" si="32"/>
        <v>0</v>
      </c>
      <c r="AQ57" s="59">
        <f t="shared" si="33"/>
        <v>0</v>
      </c>
      <c r="AR57" s="59">
        <f t="shared" si="34"/>
        <v>0</v>
      </c>
      <c r="AS57" s="59">
        <f t="shared" si="35"/>
        <v>0</v>
      </c>
      <c r="AT57" s="59">
        <f t="shared" si="36"/>
        <v>0</v>
      </c>
      <c r="AU57" s="59">
        <f t="shared" si="37"/>
        <v>0</v>
      </c>
      <c r="AV57" s="59">
        <f t="shared" si="38"/>
        <v>0</v>
      </c>
      <c r="AW57" s="59">
        <f t="shared" si="39"/>
        <v>0</v>
      </c>
      <c r="AX57" s="59">
        <f t="shared" si="40"/>
        <v>0</v>
      </c>
      <c r="AY57" s="60">
        <f t="shared" si="41"/>
        <v>-1</v>
      </c>
      <c r="AZ57" s="65">
        <f t="shared" si="31"/>
        <v>-0.1</v>
      </c>
    </row>
    <row r="58" spans="1:52" ht="25.5">
      <c r="A58" s="509" t="s">
        <v>54</v>
      </c>
      <c r="B58" s="495">
        <v>316039</v>
      </c>
      <c r="C58" s="496">
        <v>261917</v>
      </c>
      <c r="D58" s="463">
        <v>0</v>
      </c>
      <c r="E58" s="501"/>
      <c r="F58" s="501"/>
      <c r="G58" s="501"/>
      <c r="H58" s="496">
        <v>45864</v>
      </c>
      <c r="I58" s="501"/>
      <c r="J58" s="501"/>
      <c r="K58" s="496">
        <v>119900</v>
      </c>
      <c r="L58" s="502"/>
      <c r="M58" s="463"/>
      <c r="O58" s="58">
        <f t="shared" si="15"/>
        <v>0.10989790145252493</v>
      </c>
      <c r="P58" s="59">
        <f t="shared" si="16"/>
        <v>8.4721409512312593E-2</v>
      </c>
      <c r="Q58" s="59">
        <f t="shared" si="17"/>
        <v>0</v>
      </c>
      <c r="R58" s="59">
        <f t="shared" si="18"/>
        <v>0</v>
      </c>
      <c r="S58" s="59">
        <f t="shared" si="19"/>
        <v>0</v>
      </c>
      <c r="T58" s="59">
        <f t="shared" si="20"/>
        <v>0</v>
      </c>
      <c r="U58" s="59">
        <f t="shared" si="21"/>
        <v>1.2316278949861596E-2</v>
      </c>
      <c r="V58" s="59">
        <f t="shared" si="22"/>
        <v>0</v>
      </c>
      <c r="W58" s="59">
        <f t="shared" si="23"/>
        <v>0</v>
      </c>
      <c r="X58" s="59">
        <f t="shared" si="24"/>
        <v>2.8087827990984721E-2</v>
      </c>
      <c r="Y58" s="60">
        <f t="shared" si="25"/>
        <v>0</v>
      </c>
      <c r="Z58" s="65">
        <f t="shared" si="26"/>
        <v>2.1365765264153076E-2</v>
      </c>
      <c r="AB58" s="68"/>
      <c r="AC58" s="59">
        <f t="shared" si="27"/>
        <v>-0.17125101648847141</v>
      </c>
      <c r="AD58" s="59">
        <f t="shared" si="27"/>
        <v>-1</v>
      </c>
      <c r="AE58" s="59" t="str">
        <f t="shared" si="27"/>
        <v/>
      </c>
      <c r="AF58" s="59" t="str">
        <f t="shared" si="27"/>
        <v/>
      </c>
      <c r="AG58" s="59" t="str">
        <f t="shared" si="1"/>
        <v/>
      </c>
      <c r="AH58" s="59" t="str">
        <f t="shared" si="2"/>
        <v/>
      </c>
      <c r="AI58" s="59">
        <f t="shared" si="3"/>
        <v>-1</v>
      </c>
      <c r="AJ58" s="59" t="str">
        <f t="shared" si="4"/>
        <v/>
      </c>
      <c r="AK58" s="59" t="str">
        <f t="shared" si="5"/>
        <v/>
      </c>
      <c r="AL58" s="60">
        <f t="shared" si="28"/>
        <v>-1</v>
      </c>
      <c r="AM58" s="65">
        <f t="shared" si="29"/>
        <v>-0.79281275412211782</v>
      </c>
      <c r="AO58" s="58"/>
      <c r="AP58" s="59">
        <f t="shared" si="32"/>
        <v>-0.2379319691848012</v>
      </c>
      <c r="AQ58" s="59">
        <f t="shared" si="33"/>
        <v>-1</v>
      </c>
      <c r="AR58" s="59">
        <f t="shared" si="34"/>
        <v>0</v>
      </c>
      <c r="AS58" s="59">
        <f t="shared" si="35"/>
        <v>0</v>
      </c>
      <c r="AT58" s="59">
        <f t="shared" si="36"/>
        <v>0</v>
      </c>
      <c r="AU58" s="59">
        <f t="shared" si="37"/>
        <v>0</v>
      </c>
      <c r="AV58" s="59">
        <f t="shared" si="38"/>
        <v>-1</v>
      </c>
      <c r="AW58" s="59">
        <f t="shared" si="39"/>
        <v>0</v>
      </c>
      <c r="AX58" s="59">
        <f t="shared" si="40"/>
        <v>0</v>
      </c>
      <c r="AY58" s="60">
        <f t="shared" si="41"/>
        <v>-1</v>
      </c>
      <c r="AZ58" s="65">
        <f t="shared" si="31"/>
        <v>-0.32379319691848013</v>
      </c>
    </row>
    <row r="59" spans="1:52">
      <c r="A59" s="509" t="s">
        <v>55</v>
      </c>
      <c r="B59" s="495">
        <v>981149</v>
      </c>
      <c r="C59" s="496">
        <v>1055324</v>
      </c>
      <c r="D59" s="463">
        <v>1176129</v>
      </c>
      <c r="E59" s="496">
        <v>1031999</v>
      </c>
      <c r="F59" s="496">
        <v>1096074</v>
      </c>
      <c r="G59" s="496">
        <v>1025425</v>
      </c>
      <c r="H59" s="496">
        <v>918812</v>
      </c>
      <c r="I59" s="496">
        <v>1111787</v>
      </c>
      <c r="J59" s="496">
        <v>1317692</v>
      </c>
      <c r="K59" s="496">
        <v>1251260</v>
      </c>
      <c r="L59" s="497">
        <v>1839608</v>
      </c>
      <c r="M59" s="463"/>
      <c r="O59" s="58">
        <f t="shared" si="15"/>
        <v>0.34118009521686682</v>
      </c>
      <c r="P59" s="59">
        <f t="shared" si="16"/>
        <v>0.34136209857386796</v>
      </c>
      <c r="Q59" s="59">
        <f t="shared" si="17"/>
        <v>0.34895849095566756</v>
      </c>
      <c r="R59" s="59">
        <f t="shared" si="18"/>
        <v>0.29290244465926502</v>
      </c>
      <c r="S59" s="59">
        <f t="shared" si="19"/>
        <v>0.29778801370058405</v>
      </c>
      <c r="T59" s="59">
        <f t="shared" si="20"/>
        <v>0.27663355903570708</v>
      </c>
      <c r="U59" s="59">
        <f t="shared" si="21"/>
        <v>0.2467369809541303</v>
      </c>
      <c r="V59" s="59">
        <f t="shared" si="22"/>
        <v>0.2689621370523021</v>
      </c>
      <c r="W59" s="59">
        <f t="shared" si="23"/>
        <v>0.30424504885913761</v>
      </c>
      <c r="X59" s="59">
        <f t="shared" si="24"/>
        <v>0.29312073104253161</v>
      </c>
      <c r="Y59" s="60">
        <f t="shared" si="25"/>
        <v>0.38172714388577283</v>
      </c>
      <c r="Z59" s="65">
        <f t="shared" si="26"/>
        <v>0.30851061308507566</v>
      </c>
      <c r="AB59" s="68"/>
      <c r="AC59" s="59">
        <f t="shared" si="27"/>
        <v>7.5600138205308198E-2</v>
      </c>
      <c r="AD59" s="59">
        <f t="shared" si="27"/>
        <v>0.11447195363698737</v>
      </c>
      <c r="AE59" s="59">
        <f t="shared" si="27"/>
        <v>-0.12254608125469235</v>
      </c>
      <c r="AF59" s="59">
        <f t="shared" si="27"/>
        <v>6.2088238457595368E-2</v>
      </c>
      <c r="AG59" s="59">
        <f t="shared" si="1"/>
        <v>-6.445641443917105E-2</v>
      </c>
      <c r="AH59" s="59">
        <f t="shared" si="2"/>
        <v>-0.10396957359143766</v>
      </c>
      <c r="AI59" s="59">
        <f t="shared" si="3"/>
        <v>0.21002664310000307</v>
      </c>
      <c r="AJ59" s="59">
        <f t="shared" si="4"/>
        <v>0.1852018417196819</v>
      </c>
      <c r="AK59" s="59">
        <f t="shared" si="5"/>
        <v>-5.0415423331097053E-2</v>
      </c>
      <c r="AL59" s="60">
        <f t="shared" si="28"/>
        <v>0.47020443393059796</v>
      </c>
      <c r="AM59" s="65">
        <f t="shared" si="29"/>
        <v>7.7620575643377571E-2</v>
      </c>
      <c r="AO59" s="58"/>
      <c r="AP59" s="59">
        <f t="shared" si="32"/>
        <v>-1.0942401650291256E-2</v>
      </c>
      <c r="AQ59" s="59">
        <f t="shared" si="33"/>
        <v>3.5273528692045808E-2</v>
      </c>
      <c r="AR59" s="59">
        <f t="shared" si="34"/>
        <v>-0.17987296126244734</v>
      </c>
      <c r="AS59" s="59">
        <f t="shared" si="35"/>
        <v>-2.640399607854782E-3</v>
      </c>
      <c r="AT59" s="59">
        <f t="shared" si="36"/>
        <v>-0.11320800522405117</v>
      </c>
      <c r="AU59" s="59">
        <f t="shared" si="37"/>
        <v>-0.14543786839748307</v>
      </c>
      <c r="AV59" s="59">
        <f t="shared" si="38"/>
        <v>0.15814188658116679</v>
      </c>
      <c r="AW59" s="59">
        <f t="shared" si="39"/>
        <v>0.12139449495664856</v>
      </c>
      <c r="AX59" s="59">
        <f t="shared" si="40"/>
        <v>-0.11806020556431418</v>
      </c>
      <c r="AY59" s="60">
        <f t="shared" si="41"/>
        <v>0.4413768960103901</v>
      </c>
      <c r="AZ59" s="65">
        <f t="shared" si="31"/>
        <v>1.8602496453380947E-2</v>
      </c>
    </row>
    <row r="60" spans="1:52" ht="38.25">
      <c r="A60" s="509" t="s">
        <v>56</v>
      </c>
      <c r="B60" s="495">
        <v>113534</v>
      </c>
      <c r="C60" s="496">
        <v>113534</v>
      </c>
      <c r="D60" s="463">
        <v>113534</v>
      </c>
      <c r="E60" s="496">
        <v>130534</v>
      </c>
      <c r="F60" s="496">
        <v>130534</v>
      </c>
      <c r="G60" s="496">
        <v>130534</v>
      </c>
      <c r="H60" s="496">
        <v>135534</v>
      </c>
      <c r="I60" s="496">
        <v>135534</v>
      </c>
      <c r="J60" s="496">
        <v>135534</v>
      </c>
      <c r="K60" s="496">
        <v>135534</v>
      </c>
      <c r="L60" s="497">
        <v>135540</v>
      </c>
      <c r="M60" s="463"/>
      <c r="O60" s="58">
        <f t="shared" si="15"/>
        <v>3.947977415290823E-2</v>
      </c>
      <c r="P60" s="59">
        <f t="shared" si="16"/>
        <v>3.672446044957333E-2</v>
      </c>
      <c r="Q60" s="59">
        <f t="shared" si="17"/>
        <v>3.3685635939731749E-2</v>
      </c>
      <c r="R60" s="59">
        <f t="shared" si="18"/>
        <v>3.7048221666060234E-2</v>
      </c>
      <c r="S60" s="59">
        <f t="shared" si="19"/>
        <v>3.5464266628340818E-2</v>
      </c>
      <c r="T60" s="59">
        <f t="shared" si="20"/>
        <v>3.5214749977001719E-2</v>
      </c>
      <c r="U60" s="59">
        <f t="shared" si="21"/>
        <v>3.6396183306962787E-2</v>
      </c>
      <c r="V60" s="59">
        <f t="shared" si="22"/>
        <v>3.2788217782045222E-2</v>
      </c>
      <c r="W60" s="59">
        <f t="shared" si="23"/>
        <v>3.1293768537772375E-2</v>
      </c>
      <c r="X60" s="59">
        <f t="shared" si="24"/>
        <v>3.1750255870976837E-2</v>
      </c>
      <c r="Y60" s="60">
        <f t="shared" si="25"/>
        <v>2.8125175082016198E-2</v>
      </c>
      <c r="Z60" s="65">
        <f t="shared" si="26"/>
        <v>3.436097358121723E-2</v>
      </c>
      <c r="AB60" s="68"/>
      <c r="AC60" s="59">
        <f t="shared" si="27"/>
        <v>0</v>
      </c>
      <c r="AD60" s="59">
        <f t="shared" si="27"/>
        <v>0</v>
      </c>
      <c r="AE60" s="59">
        <f t="shared" si="27"/>
        <v>0.14973488118096778</v>
      </c>
      <c r="AF60" s="59">
        <f t="shared" si="27"/>
        <v>0</v>
      </c>
      <c r="AG60" s="59">
        <f t="shared" si="1"/>
        <v>0</v>
      </c>
      <c r="AH60" s="59">
        <f t="shared" si="2"/>
        <v>3.8304196607780394E-2</v>
      </c>
      <c r="AI60" s="59">
        <f t="shared" si="3"/>
        <v>0</v>
      </c>
      <c r="AJ60" s="59">
        <f t="shared" si="4"/>
        <v>0</v>
      </c>
      <c r="AK60" s="59">
        <f t="shared" si="5"/>
        <v>0</v>
      </c>
      <c r="AL60" s="60">
        <f t="shared" si="28"/>
        <v>4.4269334631863444E-5</v>
      </c>
      <c r="AM60" s="65">
        <f t="shared" si="29"/>
        <v>1.8808334712338004E-2</v>
      </c>
      <c r="AO60" s="58"/>
      <c r="AP60" s="59">
        <f t="shared" si="32"/>
        <v>-8.045977011494243E-2</v>
      </c>
      <c r="AQ60" s="59">
        <f t="shared" si="33"/>
        <v>-7.1063632141198374E-2</v>
      </c>
      <c r="AR60" s="59">
        <f t="shared" si="34"/>
        <v>7.4619012226346149E-2</v>
      </c>
      <c r="AS60" s="59">
        <f t="shared" si="35"/>
        <v>-6.0944689642219885E-2</v>
      </c>
      <c r="AT60" s="59">
        <f t="shared" si="36"/>
        <v>-5.2110443102076465E-2</v>
      </c>
      <c r="AU60" s="59">
        <f t="shared" si="37"/>
        <v>-9.7485293424576236E-3</v>
      </c>
      <c r="AV60" s="59">
        <f t="shared" si="38"/>
        <v>-4.2879019908116378E-2</v>
      </c>
      <c r="AW60" s="59">
        <f t="shared" si="39"/>
        <v>-5.3836692213075965E-2</v>
      </c>
      <c r="AX60" s="59">
        <f t="shared" si="40"/>
        <v>-7.1236184638246436E-2</v>
      </c>
      <c r="AY60" s="60">
        <f t="shared" si="41"/>
        <v>-1.9564441828792356E-2</v>
      </c>
      <c r="AZ60" s="65">
        <f t="shared" si="31"/>
        <v>-3.8722439070477975E-2</v>
      </c>
    </row>
    <row r="61" spans="1:52" ht="25.5">
      <c r="A61" s="509" t="s">
        <v>57</v>
      </c>
      <c r="B61" s="495">
        <v>113534</v>
      </c>
      <c r="C61" s="496">
        <v>113534</v>
      </c>
      <c r="D61" s="463">
        <v>113534</v>
      </c>
      <c r="E61" s="496">
        <v>130534</v>
      </c>
      <c r="F61" s="496">
        <v>130534</v>
      </c>
      <c r="G61" s="496">
        <v>130534</v>
      </c>
      <c r="H61" s="496">
        <v>135534</v>
      </c>
      <c r="I61" s="496">
        <v>135534</v>
      </c>
      <c r="J61" s="496">
        <v>135534</v>
      </c>
      <c r="K61" s="496">
        <v>135534</v>
      </c>
      <c r="L61" s="497">
        <v>135540</v>
      </c>
      <c r="M61" s="463"/>
      <c r="O61" s="58">
        <f t="shared" si="15"/>
        <v>3.947977415290823E-2</v>
      </c>
      <c r="P61" s="59">
        <f t="shared" si="16"/>
        <v>3.672446044957333E-2</v>
      </c>
      <c r="Q61" s="59">
        <f t="shared" si="17"/>
        <v>3.3685635939731749E-2</v>
      </c>
      <c r="R61" s="59">
        <f t="shared" si="18"/>
        <v>3.7048221666060234E-2</v>
      </c>
      <c r="S61" s="59">
        <f t="shared" si="19"/>
        <v>3.5464266628340818E-2</v>
      </c>
      <c r="T61" s="59">
        <f t="shared" si="20"/>
        <v>3.5214749977001719E-2</v>
      </c>
      <c r="U61" s="59">
        <f t="shared" si="21"/>
        <v>3.6396183306962787E-2</v>
      </c>
      <c r="V61" s="59">
        <f t="shared" si="22"/>
        <v>3.2788217782045222E-2</v>
      </c>
      <c r="W61" s="59">
        <f t="shared" si="23"/>
        <v>3.1293768537772375E-2</v>
      </c>
      <c r="X61" s="59">
        <f t="shared" si="24"/>
        <v>3.1750255870976837E-2</v>
      </c>
      <c r="Y61" s="60">
        <f t="shared" si="25"/>
        <v>2.8125175082016198E-2</v>
      </c>
      <c r="Z61" s="65">
        <f t="shared" si="26"/>
        <v>3.436097358121723E-2</v>
      </c>
      <c r="AB61" s="68"/>
      <c r="AC61" s="59">
        <f t="shared" si="27"/>
        <v>0</v>
      </c>
      <c r="AD61" s="59">
        <f t="shared" si="27"/>
        <v>0</v>
      </c>
      <c r="AE61" s="59">
        <f t="shared" si="27"/>
        <v>0.14973488118096778</v>
      </c>
      <c r="AF61" s="59">
        <f t="shared" si="27"/>
        <v>0</v>
      </c>
      <c r="AG61" s="59">
        <f t="shared" si="1"/>
        <v>0</v>
      </c>
      <c r="AH61" s="59">
        <f t="shared" si="2"/>
        <v>3.8304196607780394E-2</v>
      </c>
      <c r="AI61" s="59">
        <f t="shared" si="3"/>
        <v>0</v>
      </c>
      <c r="AJ61" s="59">
        <f t="shared" si="4"/>
        <v>0</v>
      </c>
      <c r="AK61" s="59">
        <f t="shared" si="5"/>
        <v>0</v>
      </c>
      <c r="AL61" s="60">
        <f t="shared" si="28"/>
        <v>4.4269334631863444E-5</v>
      </c>
      <c r="AM61" s="65">
        <f t="shared" si="29"/>
        <v>1.8808334712338004E-2</v>
      </c>
      <c r="AO61" s="58"/>
      <c r="AP61" s="59">
        <f t="shared" si="32"/>
        <v>-8.045977011494243E-2</v>
      </c>
      <c r="AQ61" s="59">
        <f t="shared" si="33"/>
        <v>-7.1063632141198374E-2</v>
      </c>
      <c r="AR61" s="59">
        <f t="shared" si="34"/>
        <v>7.4619012226346149E-2</v>
      </c>
      <c r="AS61" s="59">
        <f t="shared" si="35"/>
        <v>-6.0944689642219885E-2</v>
      </c>
      <c r="AT61" s="59">
        <f t="shared" si="36"/>
        <v>-5.2110443102076465E-2</v>
      </c>
      <c r="AU61" s="59">
        <f t="shared" si="37"/>
        <v>-9.7485293424576236E-3</v>
      </c>
      <c r="AV61" s="59">
        <f t="shared" si="38"/>
        <v>-4.2879019908116378E-2</v>
      </c>
      <c r="AW61" s="59">
        <f t="shared" si="39"/>
        <v>-5.3836692213075965E-2</v>
      </c>
      <c r="AX61" s="59">
        <f t="shared" si="40"/>
        <v>-7.1236184638246436E-2</v>
      </c>
      <c r="AY61" s="60">
        <f t="shared" si="41"/>
        <v>-1.9564441828792356E-2</v>
      </c>
      <c r="AZ61" s="65">
        <f t="shared" si="31"/>
        <v>-3.8722439070477975E-2</v>
      </c>
    </row>
    <row r="62" spans="1:52" ht="38.25">
      <c r="A62" s="509" t="s">
        <v>58</v>
      </c>
      <c r="B62" s="495">
        <v>558398</v>
      </c>
      <c r="C62" s="496">
        <v>558398</v>
      </c>
      <c r="D62" s="463">
        <v>558398</v>
      </c>
      <c r="E62" s="496">
        <v>694398</v>
      </c>
      <c r="F62" s="496">
        <v>694398</v>
      </c>
      <c r="G62" s="496">
        <v>694398</v>
      </c>
      <c r="H62" s="496">
        <v>739398</v>
      </c>
      <c r="I62" s="496">
        <v>739398</v>
      </c>
      <c r="J62" s="496">
        <v>739398</v>
      </c>
      <c r="K62" s="496">
        <v>739398</v>
      </c>
      <c r="L62" s="497">
        <v>739398</v>
      </c>
      <c r="M62" s="463"/>
      <c r="O62" s="58">
        <f t="shared" si="15"/>
        <v>0.19417466950372267</v>
      </c>
      <c r="P62" s="59">
        <f t="shared" si="16"/>
        <v>0.18062311964804242</v>
      </c>
      <c r="Q62" s="59">
        <f t="shared" si="17"/>
        <v>0.165677169283865</v>
      </c>
      <c r="R62" s="59">
        <f t="shared" si="18"/>
        <v>0.19708436904154394</v>
      </c>
      <c r="S62" s="59">
        <f t="shared" si="19"/>
        <v>0.18865824856502222</v>
      </c>
      <c r="T62" s="59">
        <f t="shared" si="20"/>
        <v>0.18733090194531724</v>
      </c>
      <c r="U62" s="59">
        <f t="shared" si="21"/>
        <v>0.19855730034383751</v>
      </c>
      <c r="V62" s="59">
        <f t="shared" si="22"/>
        <v>0.17887425038446939</v>
      </c>
      <c r="W62" s="59">
        <f t="shared" si="23"/>
        <v>0.17072136784343281</v>
      </c>
      <c r="X62" s="59">
        <f t="shared" si="24"/>
        <v>0.17321170843101019</v>
      </c>
      <c r="Y62" s="60">
        <f t="shared" si="25"/>
        <v>0.15342849494830021</v>
      </c>
      <c r="Z62" s="65">
        <f t="shared" si="26"/>
        <v>0.18075832726714214</v>
      </c>
      <c r="AB62" s="68"/>
      <c r="AC62" s="59">
        <f t="shared" si="27"/>
        <v>0</v>
      </c>
      <c r="AD62" s="59">
        <f t="shared" si="27"/>
        <v>0</v>
      </c>
      <c r="AE62" s="59">
        <f t="shared" si="27"/>
        <v>0.24355388092364239</v>
      </c>
      <c r="AF62" s="59">
        <f t="shared" si="27"/>
        <v>0</v>
      </c>
      <c r="AG62" s="59">
        <f t="shared" si="1"/>
        <v>0</v>
      </c>
      <c r="AH62" s="59">
        <f t="shared" si="2"/>
        <v>6.4804334113865547E-2</v>
      </c>
      <c r="AI62" s="59">
        <f t="shared" si="3"/>
        <v>0</v>
      </c>
      <c r="AJ62" s="59">
        <f t="shared" si="4"/>
        <v>0</v>
      </c>
      <c r="AK62" s="59">
        <f t="shared" si="5"/>
        <v>0</v>
      </c>
      <c r="AL62" s="60">
        <f t="shared" si="28"/>
        <v>0</v>
      </c>
      <c r="AM62" s="65">
        <f t="shared" si="29"/>
        <v>3.0835821503750794E-2</v>
      </c>
      <c r="AO62" s="58"/>
      <c r="AP62" s="59">
        <f t="shared" si="32"/>
        <v>-8.045977011494243E-2</v>
      </c>
      <c r="AQ62" s="59">
        <f t="shared" si="33"/>
        <v>-7.1063632141198374E-2</v>
      </c>
      <c r="AR62" s="59">
        <f t="shared" si="34"/>
        <v>0.16230851567776639</v>
      </c>
      <c r="AS62" s="59">
        <f t="shared" si="35"/>
        <v>-6.0944689642219885E-2</v>
      </c>
      <c r="AT62" s="59">
        <f t="shared" si="36"/>
        <v>-5.2110443102076465E-2</v>
      </c>
      <c r="AU62" s="59">
        <f t="shared" si="37"/>
        <v>1.5525181602525473E-2</v>
      </c>
      <c r="AV62" s="59">
        <f t="shared" si="38"/>
        <v>-4.2879019908116378E-2</v>
      </c>
      <c r="AW62" s="59">
        <f t="shared" si="39"/>
        <v>-5.3836692213075965E-2</v>
      </c>
      <c r="AX62" s="59">
        <f t="shared" si="40"/>
        <v>-7.1236184638246436E-2</v>
      </c>
      <c r="AY62" s="60">
        <f t="shared" si="41"/>
        <v>-1.9607843137254943E-2</v>
      </c>
      <c r="AZ62" s="65">
        <f t="shared" si="31"/>
        <v>-2.7430457761683902E-2</v>
      </c>
    </row>
    <row r="63" spans="1:52" ht="38.25">
      <c r="A63" s="509" t="s">
        <v>59</v>
      </c>
      <c r="B63" s="495">
        <v>558398</v>
      </c>
      <c r="C63" s="496">
        <v>558398</v>
      </c>
      <c r="D63" s="463">
        <v>558398</v>
      </c>
      <c r="E63" s="496">
        <v>694398</v>
      </c>
      <c r="F63" s="496">
        <v>694398</v>
      </c>
      <c r="G63" s="496">
        <v>694398</v>
      </c>
      <c r="H63" s="496">
        <v>739398</v>
      </c>
      <c r="I63" s="496">
        <v>739398</v>
      </c>
      <c r="J63" s="496">
        <v>739398</v>
      </c>
      <c r="K63" s="496">
        <v>739398</v>
      </c>
      <c r="L63" s="497">
        <v>739398</v>
      </c>
      <c r="M63" s="463"/>
      <c r="O63" s="58">
        <f t="shared" si="15"/>
        <v>0.19417466950372267</v>
      </c>
      <c r="P63" s="59">
        <f t="shared" si="16"/>
        <v>0.18062311964804242</v>
      </c>
      <c r="Q63" s="59">
        <f t="shared" si="17"/>
        <v>0.165677169283865</v>
      </c>
      <c r="R63" s="59">
        <f t="shared" si="18"/>
        <v>0.19708436904154394</v>
      </c>
      <c r="S63" s="59">
        <f t="shared" si="19"/>
        <v>0.18865824856502222</v>
      </c>
      <c r="T63" s="59">
        <f t="shared" si="20"/>
        <v>0.18733090194531724</v>
      </c>
      <c r="U63" s="59">
        <f t="shared" si="21"/>
        <v>0.19855730034383751</v>
      </c>
      <c r="V63" s="59">
        <f t="shared" si="22"/>
        <v>0.17887425038446939</v>
      </c>
      <c r="W63" s="59">
        <f t="shared" si="23"/>
        <v>0.17072136784343281</v>
      </c>
      <c r="X63" s="59">
        <f t="shared" si="24"/>
        <v>0.17321170843101019</v>
      </c>
      <c r="Y63" s="60">
        <f t="shared" si="25"/>
        <v>0.15342849494830021</v>
      </c>
      <c r="Z63" s="65">
        <f t="shared" si="26"/>
        <v>0.18075832726714214</v>
      </c>
      <c r="AB63" s="68"/>
      <c r="AC63" s="59">
        <f t="shared" si="27"/>
        <v>0</v>
      </c>
      <c r="AD63" s="59">
        <f t="shared" si="27"/>
        <v>0</v>
      </c>
      <c r="AE63" s="59">
        <f t="shared" si="27"/>
        <v>0.24355388092364239</v>
      </c>
      <c r="AF63" s="59">
        <f t="shared" si="27"/>
        <v>0</v>
      </c>
      <c r="AG63" s="59">
        <f t="shared" si="1"/>
        <v>0</v>
      </c>
      <c r="AH63" s="59">
        <f t="shared" si="2"/>
        <v>6.4804334113865547E-2</v>
      </c>
      <c r="AI63" s="59">
        <f t="shared" si="3"/>
        <v>0</v>
      </c>
      <c r="AJ63" s="59">
        <f t="shared" si="4"/>
        <v>0</v>
      </c>
      <c r="AK63" s="59">
        <f t="shared" si="5"/>
        <v>0</v>
      </c>
      <c r="AL63" s="60">
        <f t="shared" si="28"/>
        <v>0</v>
      </c>
      <c r="AM63" s="65">
        <f t="shared" si="29"/>
        <v>3.0835821503750794E-2</v>
      </c>
      <c r="AO63" s="58"/>
      <c r="AP63" s="59">
        <f t="shared" si="32"/>
        <v>-8.045977011494243E-2</v>
      </c>
      <c r="AQ63" s="59">
        <f t="shared" si="33"/>
        <v>-7.1063632141198374E-2</v>
      </c>
      <c r="AR63" s="59">
        <f t="shared" si="34"/>
        <v>0.16230851567776639</v>
      </c>
      <c r="AS63" s="59">
        <f t="shared" si="35"/>
        <v>-6.0944689642219885E-2</v>
      </c>
      <c r="AT63" s="59">
        <f t="shared" si="36"/>
        <v>-5.2110443102076465E-2</v>
      </c>
      <c r="AU63" s="59">
        <f t="shared" si="37"/>
        <v>1.5525181602525473E-2</v>
      </c>
      <c r="AV63" s="59">
        <f t="shared" si="38"/>
        <v>-4.2879019908116378E-2</v>
      </c>
      <c r="AW63" s="59">
        <f t="shared" si="39"/>
        <v>-5.3836692213075965E-2</v>
      </c>
      <c r="AX63" s="59">
        <f t="shared" si="40"/>
        <v>-7.1236184638246436E-2</v>
      </c>
      <c r="AY63" s="60">
        <f t="shared" si="41"/>
        <v>-1.9607843137254943E-2</v>
      </c>
      <c r="AZ63" s="65">
        <f t="shared" si="31"/>
        <v>-2.7430457761683902E-2</v>
      </c>
    </row>
    <row r="64" spans="1:52">
      <c r="A64" s="509" t="s">
        <v>60</v>
      </c>
      <c r="B64" s="495">
        <v>25970</v>
      </c>
      <c r="C64" s="496">
        <v>25970</v>
      </c>
      <c r="D64" s="463">
        <v>25970</v>
      </c>
      <c r="E64" s="496">
        <v>25970</v>
      </c>
      <c r="F64" s="496">
        <v>25970</v>
      </c>
      <c r="G64" s="496">
        <v>25970</v>
      </c>
      <c r="H64" s="496">
        <v>25970</v>
      </c>
      <c r="I64" s="496">
        <v>25970</v>
      </c>
      <c r="J64" s="496">
        <v>25970</v>
      </c>
      <c r="K64" s="496">
        <v>25970</v>
      </c>
      <c r="L64" s="497">
        <v>25970</v>
      </c>
      <c r="M64" s="463"/>
      <c r="O64" s="58">
        <f t="shared" si="15"/>
        <v>9.0306845064124126E-3</v>
      </c>
      <c r="P64" s="59">
        <f t="shared" si="16"/>
        <v>8.400428399205696E-3</v>
      </c>
      <c r="Q64" s="59">
        <f t="shared" si="17"/>
        <v>7.705321448683509E-3</v>
      </c>
      <c r="R64" s="59">
        <f t="shared" si="18"/>
        <v>7.3708176924600823E-3</v>
      </c>
      <c r="S64" s="59">
        <f t="shared" si="19"/>
        <v>7.0556866742611975E-3</v>
      </c>
      <c r="T64" s="59">
        <f t="shared" si="20"/>
        <v>7.0060448381474147E-3</v>
      </c>
      <c r="U64" s="59">
        <f t="shared" si="21"/>
        <v>6.9739613711823131E-3</v>
      </c>
      <c r="V64" s="59">
        <f t="shared" si="22"/>
        <v>6.2826303053087383E-3</v>
      </c>
      <c r="W64" s="59">
        <f t="shared" si="23"/>
        <v>5.9962752440417067E-3</v>
      </c>
      <c r="X64" s="59">
        <f t="shared" si="24"/>
        <v>6.0837438942941881E-3</v>
      </c>
      <c r="Y64" s="60">
        <f t="shared" si="25"/>
        <v>5.3888947681862229E-3</v>
      </c>
      <c r="Z64" s="65">
        <f t="shared" si="26"/>
        <v>7.0267717401984999E-3</v>
      </c>
      <c r="AB64" s="68"/>
      <c r="AC64" s="59">
        <f t="shared" si="27"/>
        <v>0</v>
      </c>
      <c r="AD64" s="59">
        <f t="shared" si="27"/>
        <v>0</v>
      </c>
      <c r="AE64" s="59">
        <f t="shared" si="27"/>
        <v>0</v>
      </c>
      <c r="AF64" s="59">
        <f t="shared" si="27"/>
        <v>0</v>
      </c>
      <c r="AG64" s="59">
        <f t="shared" si="1"/>
        <v>0</v>
      </c>
      <c r="AH64" s="59">
        <f t="shared" si="2"/>
        <v>0</v>
      </c>
      <c r="AI64" s="59">
        <f t="shared" si="3"/>
        <v>0</v>
      </c>
      <c r="AJ64" s="59">
        <f t="shared" si="4"/>
        <v>0</v>
      </c>
      <c r="AK64" s="59">
        <f t="shared" si="5"/>
        <v>0</v>
      </c>
      <c r="AL64" s="60">
        <f t="shared" si="28"/>
        <v>0</v>
      </c>
      <c r="AM64" s="65">
        <f t="shared" si="29"/>
        <v>0</v>
      </c>
      <c r="AO64" s="58"/>
      <c r="AP64" s="59">
        <f t="shared" si="32"/>
        <v>-8.045977011494243E-2</v>
      </c>
      <c r="AQ64" s="59">
        <f t="shared" si="33"/>
        <v>-7.1063632141198374E-2</v>
      </c>
      <c r="AR64" s="59">
        <f t="shared" si="34"/>
        <v>-6.5333208711094604E-2</v>
      </c>
      <c r="AS64" s="59">
        <f t="shared" si="35"/>
        <v>-6.0944689642219885E-2</v>
      </c>
      <c r="AT64" s="59">
        <f t="shared" si="36"/>
        <v>-5.2110443102076465E-2</v>
      </c>
      <c r="AU64" s="59">
        <f t="shared" si="37"/>
        <v>-4.6280007446016236E-2</v>
      </c>
      <c r="AV64" s="59">
        <f t="shared" si="38"/>
        <v>-4.2879019908116378E-2</v>
      </c>
      <c r="AW64" s="59">
        <f t="shared" si="39"/>
        <v>-5.3836692213075965E-2</v>
      </c>
      <c r="AX64" s="59">
        <f t="shared" si="40"/>
        <v>-7.1236184638246436E-2</v>
      </c>
      <c r="AY64" s="60">
        <f t="shared" si="41"/>
        <v>-1.9607843137254943E-2</v>
      </c>
      <c r="AZ64" s="65">
        <f t="shared" si="31"/>
        <v>-5.6375149105424169E-2</v>
      </c>
    </row>
    <row r="65" spans="1:52" ht="51">
      <c r="A65" s="509" t="s">
        <v>61</v>
      </c>
      <c r="B65" s="495">
        <v>969700</v>
      </c>
      <c r="C65" s="496">
        <v>1106996</v>
      </c>
      <c r="D65" s="463">
        <v>1463173</v>
      </c>
      <c r="E65" s="496">
        <v>1614006</v>
      </c>
      <c r="F65" s="496">
        <v>1755687</v>
      </c>
      <c r="G65" s="496">
        <v>1899183</v>
      </c>
      <c r="H65" s="496">
        <v>2038179</v>
      </c>
      <c r="I65" s="496">
        <v>2154190</v>
      </c>
      <c r="J65" s="496">
        <v>2130232</v>
      </c>
      <c r="K65" s="496">
        <v>2130232</v>
      </c>
      <c r="L65" s="497">
        <v>2023943</v>
      </c>
      <c r="M65" s="463"/>
      <c r="O65" s="58">
        <f t="shared" si="15"/>
        <v>0.33719887431144074</v>
      </c>
      <c r="P65" s="59">
        <f t="shared" si="16"/>
        <v>0.35807626631525252</v>
      </c>
      <c r="Q65" s="59">
        <f t="shared" si="17"/>
        <v>0.43412469387888314</v>
      </c>
      <c r="R65" s="59">
        <f t="shared" si="18"/>
        <v>0.45808794688243076</v>
      </c>
      <c r="S65" s="59">
        <f t="shared" si="19"/>
        <v>0.47699566307561103</v>
      </c>
      <c r="T65" s="59">
        <f t="shared" si="20"/>
        <v>0.51235122271264233</v>
      </c>
      <c r="U65" s="59">
        <f t="shared" si="21"/>
        <v>0.54733082840026936</v>
      </c>
      <c r="V65" s="59">
        <f t="shared" si="22"/>
        <v>0.52113898257193036</v>
      </c>
      <c r="W65" s="59">
        <f t="shared" si="23"/>
        <v>0.49185434754198892</v>
      </c>
      <c r="X65" s="59">
        <f t="shared" si="24"/>
        <v>0.49902910756373114</v>
      </c>
      <c r="Y65" s="60">
        <f t="shared" si="25"/>
        <v>0.41997750650008198</v>
      </c>
      <c r="Z65" s="65">
        <f t="shared" si="26"/>
        <v>0.45965140361402396</v>
      </c>
      <c r="AB65" s="68"/>
      <c r="AC65" s="59">
        <f t="shared" si="27"/>
        <v>0.14158605754357012</v>
      </c>
      <c r="AD65" s="59">
        <f t="shared" si="27"/>
        <v>0.32175093676941913</v>
      </c>
      <c r="AE65" s="59">
        <f t="shared" si="27"/>
        <v>0.10308623792265159</v>
      </c>
      <c r="AF65" s="59">
        <f t="shared" si="27"/>
        <v>8.7782201553153971E-2</v>
      </c>
      <c r="AG65" s="59">
        <f t="shared" si="1"/>
        <v>8.173210828581623E-2</v>
      </c>
      <c r="AH65" s="59">
        <f t="shared" si="2"/>
        <v>7.3187259995482368E-2</v>
      </c>
      <c r="AI65" s="59">
        <f t="shared" si="3"/>
        <v>5.6918945784447894E-2</v>
      </c>
      <c r="AJ65" s="59">
        <f t="shared" si="4"/>
        <v>-1.1121581661784674E-2</v>
      </c>
      <c r="AK65" s="59">
        <f t="shared" si="5"/>
        <v>0</v>
      </c>
      <c r="AL65" s="60">
        <f t="shared" si="28"/>
        <v>-4.9895504339433461E-2</v>
      </c>
      <c r="AM65" s="65">
        <f t="shared" si="29"/>
        <v>8.0502666185332319E-2</v>
      </c>
      <c r="AO65" s="58"/>
      <c r="AP65" s="59">
        <f t="shared" si="32"/>
        <v>4.9734305787191069E-2</v>
      </c>
      <c r="AQ65" s="59">
        <f t="shared" si="33"/>
        <v>0.22782251441655288</v>
      </c>
      <c r="AR65" s="59">
        <f t="shared" si="34"/>
        <v>3.1018074514114868E-2</v>
      </c>
      <c r="AS65" s="59">
        <f t="shared" si="35"/>
        <v>2.1487652881166275E-2</v>
      </c>
      <c r="AT65" s="59">
        <f t="shared" si="36"/>
        <v>2.5362568805298968E-2</v>
      </c>
      <c r="AU65" s="59">
        <f t="shared" si="37"/>
        <v>2.3520145611921617E-2</v>
      </c>
      <c r="AV65" s="59">
        <f t="shared" si="38"/>
        <v>1.159929726689124E-2</v>
      </c>
      <c r="AW65" s="59">
        <f t="shared" si="39"/>
        <v>-6.4359524706012472E-2</v>
      </c>
      <c r="AX65" s="59">
        <f t="shared" si="40"/>
        <v>-7.1236184638246436E-2</v>
      </c>
      <c r="AY65" s="60">
        <f t="shared" si="41"/>
        <v>-6.85250042543466E-2</v>
      </c>
      <c r="AZ65" s="65">
        <f t="shared" si="31"/>
        <v>1.864238456845314E-2</v>
      </c>
    </row>
    <row r="66" spans="1:52" ht="25.5">
      <c r="A66" s="509" t="s">
        <v>62</v>
      </c>
      <c r="B66" s="495">
        <v>9538</v>
      </c>
      <c r="C66" s="496">
        <v>-10618</v>
      </c>
      <c r="D66" s="463">
        <v>14223</v>
      </c>
      <c r="E66" s="496">
        <v>-6746</v>
      </c>
      <c r="F66" s="496">
        <v>-48391</v>
      </c>
      <c r="G66" s="496">
        <v>-46767</v>
      </c>
      <c r="H66" s="496">
        <v>-65329</v>
      </c>
      <c r="I66" s="496">
        <v>100781</v>
      </c>
      <c r="J66" s="496">
        <v>15456</v>
      </c>
      <c r="K66" s="496">
        <v>4164</v>
      </c>
      <c r="L66" s="497">
        <v>79722</v>
      </c>
      <c r="M66" s="463"/>
      <c r="O66" s="58">
        <f t="shared" si="15"/>
        <v>3.316698837973107E-3</v>
      </c>
      <c r="P66" s="59">
        <f t="shared" si="16"/>
        <v>-3.4345686847426287E-3</v>
      </c>
      <c r="Q66" s="59">
        <f t="shared" si="17"/>
        <v>4.2199763944792273E-3</v>
      </c>
      <c r="R66" s="59">
        <f t="shared" si="18"/>
        <v>-1.9146529131049562E-3</v>
      </c>
      <c r="S66" s="59">
        <f t="shared" si="19"/>
        <v>-1.3147159563117967E-2</v>
      </c>
      <c r="T66" s="59">
        <f t="shared" si="20"/>
        <v>-1.2616545974033121E-2</v>
      </c>
      <c r="U66" s="59">
        <f t="shared" si="21"/>
        <v>-1.7543393239043872E-2</v>
      </c>
      <c r="V66" s="59">
        <f t="shared" si="22"/>
        <v>2.4380814971094338E-2</v>
      </c>
      <c r="W66" s="59">
        <f t="shared" si="23"/>
        <v>3.5686727058878943E-3</v>
      </c>
      <c r="X66" s="59">
        <f t="shared" si="24"/>
        <v>9.7546051504971126E-4</v>
      </c>
      <c r="Y66" s="60">
        <f t="shared" si="25"/>
        <v>1.6542682661122143E-2</v>
      </c>
      <c r="Z66" s="65">
        <f t="shared" si="26"/>
        <v>3.9527142832398906E-4</v>
      </c>
      <c r="AB66" s="68"/>
      <c r="AC66" s="59">
        <f t="shared" si="27"/>
        <v>-2.113231285384777</v>
      </c>
      <c r="AD66" s="59">
        <f t="shared" si="27"/>
        <v>-2.3395177999623282</v>
      </c>
      <c r="AE66" s="59">
        <f t="shared" si="27"/>
        <v>-1.4743021865991703</v>
      </c>
      <c r="AF66" s="59">
        <f t="shared" si="27"/>
        <v>6.1732878742958794</v>
      </c>
      <c r="AG66" s="59">
        <f t="shared" si="1"/>
        <v>-3.3559959496600622E-2</v>
      </c>
      <c r="AH66" s="59">
        <f t="shared" si="2"/>
        <v>0.39690379968781397</v>
      </c>
      <c r="AI66" s="59">
        <f t="shared" si="3"/>
        <v>-2.5426686463898118</v>
      </c>
      <c r="AJ66" s="59">
        <f t="shared" si="4"/>
        <v>-0.84663775910141792</v>
      </c>
      <c r="AK66" s="59">
        <f t="shared" si="5"/>
        <v>-0.73059006211180122</v>
      </c>
      <c r="AL66" s="60">
        <f t="shared" si="28"/>
        <v>18.145533141210375</v>
      </c>
      <c r="AM66" s="65">
        <f t="shared" si="29"/>
        <v>1.4635217116148163</v>
      </c>
      <c r="AO66" s="58"/>
      <c r="AP66" s="59">
        <f t="shared" si="32"/>
        <v>-2.023660952077956</v>
      </c>
      <c r="AQ66" s="59">
        <f t="shared" si="33"/>
        <v>-2.244326799779218</v>
      </c>
      <c r="AR66" s="59">
        <f t="shared" si="34"/>
        <v>-1.4433145028499581</v>
      </c>
      <c r="AS66" s="59">
        <f t="shared" si="35"/>
        <v>5.7361140710826177</v>
      </c>
      <c r="AT66" s="59">
        <f t="shared" si="36"/>
        <v>-8.3921578238821404E-2</v>
      </c>
      <c r="AU66" s="59">
        <f t="shared" si="37"/>
        <v>0.33225508143689364</v>
      </c>
      <c r="AV66" s="59">
        <f t="shared" si="38"/>
        <v>-2.4765205267896362</v>
      </c>
      <c r="AW66" s="59">
        <f t="shared" si="39"/>
        <v>-0.85489427486178249</v>
      </c>
      <c r="AX66" s="59">
        <f t="shared" si="40"/>
        <v>-0.74978179819058344</v>
      </c>
      <c r="AY66" s="60">
        <f t="shared" si="41"/>
        <v>17.770130530598408</v>
      </c>
      <c r="AZ66" s="65">
        <f t="shared" si="31"/>
        <v>1.3962079250329964</v>
      </c>
    </row>
    <row r="67" spans="1:52" ht="25.5">
      <c r="A67" s="509" t="s">
        <v>63</v>
      </c>
      <c r="B67" s="503"/>
      <c r="C67" s="501"/>
      <c r="D67" s="49"/>
      <c r="E67" s="501"/>
      <c r="F67" s="501"/>
      <c r="G67" s="501"/>
      <c r="H67" s="501"/>
      <c r="I67" s="501"/>
      <c r="J67" s="496">
        <v>33260</v>
      </c>
      <c r="K67" s="496">
        <v>17805</v>
      </c>
      <c r="L67" s="497">
        <v>25011</v>
      </c>
      <c r="M67" s="463"/>
      <c r="O67" s="58">
        <f t="shared" si="15"/>
        <v>0</v>
      </c>
      <c r="P67" s="59">
        <f t="shared" si="16"/>
        <v>0</v>
      </c>
      <c r="Q67" s="59">
        <f>D68/$D$31</f>
        <v>5.6287120986898281E-3</v>
      </c>
      <c r="R67" s="59">
        <f t="shared" si="18"/>
        <v>0</v>
      </c>
      <c r="S67" s="59">
        <f t="shared" si="19"/>
        <v>0</v>
      </c>
      <c r="T67" s="59">
        <f t="shared" si="20"/>
        <v>0</v>
      </c>
      <c r="U67" s="59">
        <f t="shared" si="21"/>
        <v>0</v>
      </c>
      <c r="V67" s="59">
        <f t="shared" si="22"/>
        <v>0</v>
      </c>
      <c r="W67" s="59">
        <f t="shared" si="23"/>
        <v>7.679480732261346E-3</v>
      </c>
      <c r="X67" s="59">
        <f t="shared" si="24"/>
        <v>4.1710073175936857E-3</v>
      </c>
      <c r="Y67" s="60">
        <f t="shared" si="25"/>
        <v>5.1898978454796157E-3</v>
      </c>
      <c r="Z67" s="65">
        <f t="shared" si="26"/>
        <v>2.0608270903658614E-3</v>
      </c>
      <c r="AB67" s="68"/>
      <c r="AC67" s="59" t="str">
        <f t="shared" si="27"/>
        <v/>
      </c>
      <c r="AD67" s="59" t="str">
        <f>+IF(C67=0,"",D68/C67-1)</f>
        <v/>
      </c>
      <c r="AE67" s="59">
        <f>+IF(D68=0,"",E67/D68-1)</f>
        <v>-1</v>
      </c>
      <c r="AF67" s="59" t="str">
        <f t="shared" si="27"/>
        <v/>
      </c>
      <c r="AG67" s="59" t="str">
        <f t="shared" si="1"/>
        <v/>
      </c>
      <c r="AH67" s="59" t="str">
        <f t="shared" si="2"/>
        <v/>
      </c>
      <c r="AI67" s="59" t="str">
        <f t="shared" si="3"/>
        <v/>
      </c>
      <c r="AJ67" s="59" t="str">
        <f t="shared" si="4"/>
        <v/>
      </c>
      <c r="AK67" s="59">
        <f t="shared" si="5"/>
        <v>-0.46467227901383046</v>
      </c>
      <c r="AL67" s="60">
        <f t="shared" si="28"/>
        <v>0.40471777590564439</v>
      </c>
      <c r="AM67" s="65">
        <f t="shared" si="29"/>
        <v>-0.35331816770272867</v>
      </c>
      <c r="AO67" s="58"/>
      <c r="AP67" s="59">
        <f t="shared" si="32"/>
        <v>0</v>
      </c>
      <c r="AQ67" s="59">
        <f t="shared" si="33"/>
        <v>0</v>
      </c>
      <c r="AR67" s="59">
        <f t="shared" si="34"/>
        <v>-1</v>
      </c>
      <c r="AS67" s="59">
        <f t="shared" si="35"/>
        <v>0</v>
      </c>
      <c r="AT67" s="59">
        <f t="shared" si="36"/>
        <v>0</v>
      </c>
      <c r="AU67" s="59">
        <f t="shared" si="37"/>
        <v>0</v>
      </c>
      <c r="AV67" s="59">
        <f t="shared" si="38"/>
        <v>0</v>
      </c>
      <c r="AW67" s="59">
        <f t="shared" si="39"/>
        <v>0</v>
      </c>
      <c r="AX67" s="59">
        <f t="shared" si="40"/>
        <v>-0.50280698338797292</v>
      </c>
      <c r="AY67" s="60">
        <f t="shared" si="41"/>
        <v>0.37717429010357284</v>
      </c>
      <c r="AZ67" s="65">
        <f t="shared" si="31"/>
        <v>-0.11256326932844</v>
      </c>
    </row>
    <row r="68" spans="1:52" ht="38.25">
      <c r="A68" s="509" t="s">
        <v>64</v>
      </c>
      <c r="B68" s="495">
        <v>217462</v>
      </c>
      <c r="C68" s="496">
        <v>241905</v>
      </c>
      <c r="D68" s="463">
        <v>18971</v>
      </c>
      <c r="E68" s="496">
        <v>33193</v>
      </c>
      <c r="F68" s="496">
        <v>26447</v>
      </c>
      <c r="G68" s="496">
        <v>-21944</v>
      </c>
      <c r="H68" s="496">
        <v>-68712</v>
      </c>
      <c r="I68" s="496">
        <v>-134041</v>
      </c>
      <c r="J68" s="496">
        <v>-33260</v>
      </c>
      <c r="K68" s="496">
        <v>-17805</v>
      </c>
      <c r="L68" s="497">
        <v>-25011</v>
      </c>
      <c r="M68" s="463"/>
      <c r="O68" s="58">
        <f t="shared" si="15"/>
        <v>7.5619203470676008E-2</v>
      </c>
      <c r="P68" s="59">
        <f t="shared" si="16"/>
        <v>7.8248195298800685E-2</v>
      </c>
      <c r="Q68" s="59">
        <f>D68/$D$31</f>
        <v>5.6287120986898281E-3</v>
      </c>
      <c r="R68" s="59">
        <f t="shared" si="18"/>
        <v>9.4208529713449181E-3</v>
      </c>
      <c r="S68" s="59">
        <f t="shared" si="19"/>
        <v>7.1852809192986481E-3</v>
      </c>
      <c r="T68" s="59">
        <f t="shared" si="20"/>
        <v>-5.9199325347827061E-3</v>
      </c>
      <c r="U68" s="59">
        <f t="shared" si="21"/>
        <v>-1.8451861137338432E-2</v>
      </c>
      <c r="V68" s="59">
        <f t="shared" si="22"/>
        <v>-3.242703306715012E-2</v>
      </c>
      <c r="W68" s="59">
        <f t="shared" si="23"/>
        <v>-7.679480732261346E-3</v>
      </c>
      <c r="X68" s="59">
        <f t="shared" si="24"/>
        <v>-4.1710073175936857E-3</v>
      </c>
      <c r="Y68" s="60">
        <f t="shared" si="25"/>
        <v>-5.1898978454796157E-3</v>
      </c>
      <c r="Z68" s="65">
        <f t="shared" si="26"/>
        <v>9.296639284018561E-3</v>
      </c>
      <c r="AB68" s="68"/>
      <c r="AC68" s="59">
        <f t="shared" si="27"/>
        <v>0.11240124711443844</v>
      </c>
      <c r="AD68" s="59">
        <f>+IF(C68=0,"",D68/C68-1)</f>
        <v>-0.92157665199148431</v>
      </c>
      <c r="AE68" s="59">
        <f>+IF(D68=0,"",E68/D68-1)</f>
        <v>0.74967054978651637</v>
      </c>
      <c r="AF68" s="59">
        <f t="shared" si="27"/>
        <v>-0.20323562196848732</v>
      </c>
      <c r="AG68" s="59">
        <f t="shared" si="27"/>
        <v>-1.8297349415812758</v>
      </c>
      <c r="AH68" s="59">
        <f t="shared" si="27"/>
        <v>2.1312431644185197</v>
      </c>
      <c r="AI68" s="59">
        <f t="shared" si="27"/>
        <v>0.95076551402957277</v>
      </c>
      <c r="AJ68" s="59">
        <f t="shared" si="27"/>
        <v>-0.75186696607754344</v>
      </c>
      <c r="AK68" s="59">
        <f t="shared" si="27"/>
        <v>-0.46467227901383046</v>
      </c>
      <c r="AL68" s="60">
        <f t="shared" si="28"/>
        <v>0.40471777590564439</v>
      </c>
      <c r="AM68" s="65">
        <f t="shared" si="29"/>
        <v>1.7771179062207043E-2</v>
      </c>
      <c r="AO68" s="58"/>
      <c r="AP68" s="59">
        <f t="shared" si="32"/>
        <v>2.2897698496035401E-2</v>
      </c>
      <c r="AQ68" s="59">
        <f>IF(AD68="",,(((AD68+1)/($D$116+1))-1))</f>
        <v>-0.92714969994564267</v>
      </c>
      <c r="AR68" s="59">
        <f t="shared" si="34"/>
        <v>0.63535895858165836</v>
      </c>
      <c r="AS68" s="59">
        <f t="shared" si="35"/>
        <v>-0.25179417970559426</v>
      </c>
      <c r="AT68" s="59">
        <f t="shared" si="36"/>
        <v>-1.7864970861181999</v>
      </c>
      <c r="AU68" s="59">
        <f t="shared" si="37"/>
        <v>1.9863292074539429</v>
      </c>
      <c r="AV68" s="59">
        <f t="shared" si="38"/>
        <v>0.86711860071743185</v>
      </c>
      <c r="AW68" s="59">
        <f t="shared" si="39"/>
        <v>-0.76522562785272341</v>
      </c>
      <c r="AX68" s="59">
        <f t="shared" si="40"/>
        <v>-0.50280698338797292</v>
      </c>
      <c r="AY68" s="60">
        <f t="shared" si="41"/>
        <v>0.37717429010357284</v>
      </c>
      <c r="AZ68" s="65">
        <f t="shared" si="31"/>
        <v>-3.4459482165749192E-2</v>
      </c>
    </row>
    <row r="69" spans="1:52" ht="25.5">
      <c r="A69" s="509" t="s">
        <v>65</v>
      </c>
      <c r="B69" s="495">
        <v>1894602</v>
      </c>
      <c r="C69" s="496">
        <v>2036185</v>
      </c>
      <c r="D69" s="463">
        <v>2194269</v>
      </c>
      <c r="E69" s="496">
        <v>2491355</v>
      </c>
      <c r="F69" s="496">
        <v>2584645</v>
      </c>
      <c r="G69" s="496">
        <v>2681374</v>
      </c>
      <c r="H69" s="496">
        <v>2805040</v>
      </c>
      <c r="I69" s="496">
        <v>3021832</v>
      </c>
      <c r="J69" s="496">
        <v>3013330</v>
      </c>
      <c r="K69" s="496">
        <v>3017493</v>
      </c>
      <c r="L69" s="497">
        <v>2979562</v>
      </c>
      <c r="M69" s="463"/>
      <c r="O69" s="58">
        <f t="shared" ref="O69:O70" si="42">B69/$B$31</f>
        <v>0.65881990478313313</v>
      </c>
      <c r="P69" s="59">
        <f t="shared" ref="P69:P70" si="43">C69/$C$31</f>
        <v>0.65863790142613199</v>
      </c>
      <c r="Q69" s="59">
        <f t="shared" ref="Q69:Q70" si="44">D69/$D$31</f>
        <v>0.65104150904433244</v>
      </c>
      <c r="R69" s="59">
        <f t="shared" ref="R69:R70" si="45">E69/$E$31</f>
        <v>0.70709755534073504</v>
      </c>
      <c r="S69" s="59">
        <f t="shared" ref="S69:S70" si="46">F69/$F$31</f>
        <v>0.70221198629941595</v>
      </c>
      <c r="T69" s="59">
        <f t="shared" ref="T69:T70" si="47">G69/$G$31</f>
        <v>0.72336644096429292</v>
      </c>
      <c r="U69" s="59">
        <f t="shared" ref="U69:U70" si="48">H69/$H$31</f>
        <v>0.75326301904586968</v>
      </c>
      <c r="V69" s="59">
        <f t="shared" ref="V69:V70" si="49">I69/$I$31</f>
        <v>0.7310378629476979</v>
      </c>
      <c r="W69" s="59">
        <f t="shared" ref="W69:W70" si="50">J69/$J$31</f>
        <v>0.69575495114086239</v>
      </c>
      <c r="X69" s="59">
        <f t="shared" ref="X69:X70" si="51">K69/$K$31</f>
        <v>0.70687926895746833</v>
      </c>
      <c r="Y69" s="60">
        <f t="shared" ref="Y69:Y70" si="52">L69/$L$31</f>
        <v>0.61827285611422711</v>
      </c>
      <c r="Z69" s="65">
        <f t="shared" ref="Z69:Z70" si="53">AVERAGE(O69:Y69)</f>
        <v>0.69148938691492423</v>
      </c>
      <c r="AB69" s="68"/>
      <c r="AC69" s="59">
        <f t="shared" ref="AC69:AK72" si="54">+IF(B69=0,"",C69/B69-1)</f>
        <v>7.4729679373293223E-2</v>
      </c>
      <c r="AD69" s="59">
        <f t="shared" si="54"/>
        <v>7.7637346311852706E-2</v>
      </c>
      <c r="AE69" s="59">
        <f t="shared" si="54"/>
        <v>0.13539178651295725</v>
      </c>
      <c r="AF69" s="59">
        <f t="shared" si="54"/>
        <v>3.7445486492290403E-2</v>
      </c>
      <c r="AG69" s="59">
        <f t="shared" si="54"/>
        <v>3.7424481892097461E-2</v>
      </c>
      <c r="AH69" s="59">
        <f t="shared" si="54"/>
        <v>4.6120384549115601E-2</v>
      </c>
      <c r="AI69" s="59">
        <f t="shared" si="54"/>
        <v>7.7286598408578877E-2</v>
      </c>
      <c r="AJ69" s="59">
        <f t="shared" si="54"/>
        <v>-2.8135250404390799E-3</v>
      </c>
      <c r="AK69" s="59">
        <f t="shared" si="54"/>
        <v>1.3815280769116089E-3</v>
      </c>
      <c r="AL69" s="60">
        <f t="shared" ref="AL69:AL72" si="55">+IF(K69=0,"",L69/K69-1)</f>
        <v>-1.2570368845926105E-2</v>
      </c>
      <c r="AM69" s="65">
        <f t="shared" ref="AM69:AM70" si="56">AVERAGE(AB69:AL69)</f>
        <v>4.7203339773073193E-2</v>
      </c>
      <c r="AO69" s="58"/>
      <c r="AP69" s="59">
        <f t="shared" si="32"/>
        <v>-1.174282356478773E-2</v>
      </c>
      <c r="AQ69" s="59">
        <f t="shared" si="33"/>
        <v>1.0565223519301004E-3</v>
      </c>
      <c r="AR69" s="59">
        <f t="shared" si="34"/>
        <v>6.1212997955843784E-2</v>
      </c>
      <c r="AS69" s="59">
        <f t="shared" si="35"/>
        <v>-2.5781306702704065E-2</v>
      </c>
      <c r="AT69" s="59">
        <f t="shared" si="36"/>
        <v>-1.6636167544241798E-2</v>
      </c>
      <c r="AU69" s="59">
        <f t="shared" si="37"/>
        <v>-2.2940746372468457E-3</v>
      </c>
      <c r="AV69" s="59">
        <f t="shared" si="38"/>
        <v>3.1093604908670525E-2</v>
      </c>
      <c r="AW69" s="59">
        <f t="shared" si="39"/>
        <v>-5.6498746371879127E-2</v>
      </c>
      <c r="AX69" s="59">
        <f t="shared" si="40"/>
        <v>-6.9953071350504659E-2</v>
      </c>
      <c r="AY69" s="60">
        <f t="shared" si="41"/>
        <v>-3.1931734162672698E-2</v>
      </c>
      <c r="AZ69" s="65">
        <f t="shared" ref="AZ69:AZ70" si="57">AVERAGE(AO69:AY69)</f>
        <v>-1.2147479911759251E-2</v>
      </c>
    </row>
    <row r="70" spans="1:52" ht="26.25" thickBot="1">
      <c r="A70" s="510" t="s">
        <v>66</v>
      </c>
      <c r="B70" s="498">
        <v>2875751</v>
      </c>
      <c r="C70" s="499">
        <v>3091509</v>
      </c>
      <c r="D70" s="504">
        <v>3370398</v>
      </c>
      <c r="E70" s="499">
        <v>3523354</v>
      </c>
      <c r="F70" s="499">
        <v>3680719</v>
      </c>
      <c r="G70" s="499">
        <v>3706799</v>
      </c>
      <c r="H70" s="499">
        <v>3723852</v>
      </c>
      <c r="I70" s="499">
        <v>4133619</v>
      </c>
      <c r="J70" s="499">
        <v>4331022</v>
      </c>
      <c r="K70" s="499">
        <v>4268753</v>
      </c>
      <c r="L70" s="500">
        <v>4819170</v>
      </c>
      <c r="M70" s="463"/>
      <c r="O70" s="61">
        <f t="shared" si="42"/>
        <v>1</v>
      </c>
      <c r="P70" s="62">
        <f t="shared" si="43"/>
        <v>1</v>
      </c>
      <c r="Q70" s="62">
        <f t="shared" si="44"/>
        <v>1</v>
      </c>
      <c r="R70" s="62">
        <f t="shared" si="45"/>
        <v>1</v>
      </c>
      <c r="S70" s="62">
        <f t="shared" si="46"/>
        <v>1</v>
      </c>
      <c r="T70" s="62">
        <f t="shared" si="47"/>
        <v>1</v>
      </c>
      <c r="U70" s="62">
        <f t="shared" si="48"/>
        <v>1</v>
      </c>
      <c r="V70" s="62">
        <f t="shared" si="49"/>
        <v>1</v>
      </c>
      <c r="W70" s="62">
        <f t="shared" si="50"/>
        <v>1</v>
      </c>
      <c r="X70" s="62">
        <f t="shared" si="51"/>
        <v>1</v>
      </c>
      <c r="Y70" s="63">
        <f t="shared" si="52"/>
        <v>1</v>
      </c>
      <c r="Z70" s="66">
        <f t="shared" si="53"/>
        <v>1</v>
      </c>
      <c r="AB70" s="69"/>
      <c r="AC70" s="62">
        <f t="shared" si="54"/>
        <v>7.5026662600482519E-2</v>
      </c>
      <c r="AD70" s="62">
        <f t="shared" si="54"/>
        <v>9.0211285168505073E-2</v>
      </c>
      <c r="AE70" s="62">
        <f t="shared" si="54"/>
        <v>4.5382177416435576E-2</v>
      </c>
      <c r="AF70" s="62">
        <f t="shared" si="54"/>
        <v>4.466340878606001E-2</v>
      </c>
      <c r="AG70" s="62">
        <f t="shared" si="54"/>
        <v>7.0855721395737259E-3</v>
      </c>
      <c r="AH70" s="62">
        <f t="shared" si="54"/>
        <v>4.6004652531739243E-3</v>
      </c>
      <c r="AI70" s="62">
        <f t="shared" si="54"/>
        <v>0.11003847628745711</v>
      </c>
      <c r="AJ70" s="62">
        <f t="shared" si="54"/>
        <v>4.7755489802035367E-2</v>
      </c>
      <c r="AK70" s="62">
        <f t="shared" si="54"/>
        <v>-1.437743793497237E-2</v>
      </c>
      <c r="AL70" s="63">
        <f t="shared" si="55"/>
        <v>0.1289409342728427</v>
      </c>
      <c r="AM70" s="66">
        <f t="shared" si="56"/>
        <v>5.3932703379159362E-2</v>
      </c>
      <c r="AO70" s="61"/>
      <c r="AP70" s="62">
        <f t="shared" si="32"/>
        <v>-1.1469735539786141E-2</v>
      </c>
      <c r="AQ70" s="62">
        <f t="shared" si="33"/>
        <v>1.2736911443107291E-2</v>
      </c>
      <c r="AR70" s="62">
        <f t="shared" si="34"/>
        <v>-2.2915994563570852E-2</v>
      </c>
      <c r="AS70" s="62">
        <f t="shared" si="35"/>
        <v>-1.9003278442989879E-2</v>
      </c>
      <c r="AT70" s="62">
        <f t="shared" si="36"/>
        <v>-4.5394103266327646E-2</v>
      </c>
      <c r="AU70" s="62">
        <f t="shared" si="37"/>
        <v>-4.1892451759014349E-2</v>
      </c>
      <c r="AV70" s="62">
        <f t="shared" si="38"/>
        <v>6.2441114363952055E-2</v>
      </c>
      <c r="AW70" s="62">
        <f t="shared" si="39"/>
        <v>-8.6522000169974023E-3</v>
      </c>
      <c r="AX70" s="62">
        <f t="shared" si="40"/>
        <v>-8.4589428749858198E-2</v>
      </c>
      <c r="AY70" s="63">
        <f t="shared" si="41"/>
        <v>0.10680483752239489</v>
      </c>
      <c r="AZ70" s="66">
        <f t="shared" si="57"/>
        <v>-5.1934329009090232E-3</v>
      </c>
    </row>
    <row r="71" spans="1:52">
      <c r="A71" s="3"/>
      <c r="B71" s="4"/>
      <c r="C71" s="4"/>
      <c r="D71" s="5"/>
      <c r="E71" s="4"/>
      <c r="F71" s="4"/>
      <c r="G71" s="4"/>
      <c r="H71" s="4"/>
      <c r="I71" s="4"/>
      <c r="J71" s="4"/>
      <c r="K71" s="4"/>
      <c r="L71" s="4"/>
      <c r="AB71" s="5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</row>
    <row r="72" spans="1:52" ht="15.75" thickBot="1">
      <c r="A72" s="3"/>
      <c r="B72" s="4"/>
      <c r="C72" s="4"/>
      <c r="D72" s="5"/>
      <c r="E72" s="4"/>
      <c r="F72" s="4"/>
      <c r="G72" s="4"/>
      <c r="H72" s="4"/>
      <c r="I72" s="4"/>
      <c r="J72" s="4"/>
      <c r="K72" s="4"/>
      <c r="L72" s="4"/>
      <c r="AB72" s="5"/>
      <c r="AC72" s="54" t="str">
        <f t="shared" si="54"/>
        <v/>
      </c>
      <c r="AD72" s="54" t="str">
        <f t="shared" si="54"/>
        <v/>
      </c>
      <c r="AE72" s="54" t="str">
        <f t="shared" si="54"/>
        <v/>
      </c>
      <c r="AF72" s="54" t="str">
        <f t="shared" si="54"/>
        <v/>
      </c>
      <c r="AG72" s="54" t="str">
        <f t="shared" si="54"/>
        <v/>
      </c>
      <c r="AH72" s="54" t="str">
        <f t="shared" si="54"/>
        <v/>
      </c>
      <c r="AI72" s="54" t="str">
        <f t="shared" si="54"/>
        <v/>
      </c>
      <c r="AJ72" s="54" t="str">
        <f t="shared" si="54"/>
        <v/>
      </c>
      <c r="AK72" s="54" t="str">
        <f t="shared" si="54"/>
        <v/>
      </c>
      <c r="AL72" s="54" t="str">
        <f t="shared" si="55"/>
        <v/>
      </c>
    </row>
    <row r="73" spans="1:52" ht="15.75" thickBot="1">
      <c r="A73" s="670" t="s">
        <v>83</v>
      </c>
      <c r="B73" s="671"/>
      <c r="C73" s="671"/>
      <c r="D73" s="671"/>
      <c r="E73" s="671"/>
      <c r="F73" s="671"/>
      <c r="G73" s="671"/>
      <c r="H73" s="671"/>
      <c r="I73" s="671"/>
      <c r="J73" s="671"/>
      <c r="K73" s="671"/>
      <c r="L73" s="672"/>
      <c r="M73" s="124"/>
      <c r="O73" s="670" t="s">
        <v>262</v>
      </c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6"/>
      <c r="AB73" s="670" t="s">
        <v>263</v>
      </c>
      <c r="AC73" s="685"/>
      <c r="AD73" s="685"/>
      <c r="AE73" s="685"/>
      <c r="AF73" s="685"/>
      <c r="AG73" s="685"/>
      <c r="AH73" s="685"/>
      <c r="AI73" s="685"/>
      <c r="AJ73" s="685"/>
      <c r="AK73" s="685"/>
      <c r="AL73" s="685"/>
      <c r="AM73" s="686"/>
      <c r="AO73" s="679" t="s">
        <v>267</v>
      </c>
      <c r="AP73" s="680"/>
      <c r="AQ73" s="680"/>
      <c r="AR73" s="680"/>
      <c r="AS73" s="680"/>
      <c r="AT73" s="680"/>
      <c r="AU73" s="680"/>
      <c r="AV73" s="680"/>
      <c r="AW73" s="680"/>
      <c r="AX73" s="680"/>
      <c r="AY73" s="680"/>
      <c r="AZ73" s="686"/>
    </row>
    <row r="74" spans="1:52" ht="25.5">
      <c r="A74" s="505" t="s">
        <v>67</v>
      </c>
      <c r="B74" s="9">
        <v>2138992</v>
      </c>
      <c r="C74" s="10">
        <v>2618052</v>
      </c>
      <c r="D74" s="11">
        <v>2189164</v>
      </c>
      <c r="E74" s="10">
        <v>2298013</v>
      </c>
      <c r="F74" s="10">
        <v>2304951</v>
      </c>
      <c r="G74" s="10">
        <v>1983473</v>
      </c>
      <c r="H74" s="10">
        <v>2208245</v>
      </c>
      <c r="I74" s="10">
        <v>2884989</v>
      </c>
      <c r="J74" s="10">
        <v>3915432</v>
      </c>
      <c r="K74" s="10">
        <v>4202322</v>
      </c>
      <c r="L74" s="22">
        <v>4673604</v>
      </c>
      <c r="M74" s="463"/>
      <c r="O74" s="55">
        <f>B74/$B$74</f>
        <v>1</v>
      </c>
      <c r="P74" s="56">
        <f>C74/$C$74</f>
        <v>1</v>
      </c>
      <c r="Q74" s="56">
        <f>D74/$D$74</f>
        <v>1</v>
      </c>
      <c r="R74" s="56">
        <f>E74/$E$74</f>
        <v>1</v>
      </c>
      <c r="S74" s="56">
        <f>F74/$F$74</f>
        <v>1</v>
      </c>
      <c r="T74" s="56">
        <f>G74/$G$74</f>
        <v>1</v>
      </c>
      <c r="U74" s="56">
        <f>H74/$H$74</f>
        <v>1</v>
      </c>
      <c r="V74" s="56">
        <f>I74/$I$74</f>
        <v>1</v>
      </c>
      <c r="W74" s="56">
        <f>J74/$J$74</f>
        <v>1</v>
      </c>
      <c r="X74" s="56">
        <f>K74/$K$74</f>
        <v>1</v>
      </c>
      <c r="Y74" s="57">
        <f>L74/$L$74</f>
        <v>1</v>
      </c>
      <c r="Z74" s="64">
        <f>AVERAGE(O74:Y74)</f>
        <v>1</v>
      </c>
      <c r="AB74" s="67"/>
      <c r="AC74" s="56">
        <f>+IF(B74=0,"",C74/B74-1)</f>
        <v>0.22396530702312112</v>
      </c>
      <c r="AD74" s="56">
        <f t="shared" ref="AD74:AL85" si="58">+IF(C74=0,"",D74/C74-1)</f>
        <v>-0.16381951160633934</v>
      </c>
      <c r="AE74" s="56">
        <f t="shared" si="58"/>
        <v>4.9721720254855217E-2</v>
      </c>
      <c r="AF74" s="56">
        <f t="shared" si="58"/>
        <v>3.0191300049215997E-3</v>
      </c>
      <c r="AG74" s="56">
        <f t="shared" si="58"/>
        <v>-0.13947281308800052</v>
      </c>
      <c r="AH74" s="56">
        <f t="shared" si="58"/>
        <v>0.1133224399827979</v>
      </c>
      <c r="AI74" s="56">
        <f t="shared" si="58"/>
        <v>0.3064623717024153</v>
      </c>
      <c r="AJ74" s="56">
        <f t="shared" si="58"/>
        <v>0.35717397882626245</v>
      </c>
      <c r="AK74" s="56">
        <f t="shared" si="58"/>
        <v>7.3271608343600469E-2</v>
      </c>
      <c r="AL74" s="57">
        <f t="shared" si="58"/>
        <v>0.11214799817815013</v>
      </c>
      <c r="AM74" s="64">
        <f>AVERAGE(AB74:AL74)</f>
        <v>9.3579222962178438E-2</v>
      </c>
      <c r="AO74" s="77"/>
      <c r="AP74" s="78">
        <f t="shared" ref="AP74:AP85" si="59">IF(AC74="",,(((AC74+1)/($C$116+1))-1))</f>
        <v>0.12548533979137577</v>
      </c>
      <c r="AQ74" s="78">
        <f>IF(AD74="",,(((AD74+1)/($D$116+1))-1))</f>
        <v>-0.22324153423719406</v>
      </c>
      <c r="AR74" s="78">
        <f>IF(AE74="",,(((AE74+1)/($E$116+1))-1))</f>
        <v>-1.8859967983124504E-2</v>
      </c>
      <c r="AS74" s="78">
        <f>IF(AF74="",,(((AF74+1)/($F$116+1))-1))</f>
        <v>-5.8109559578437775E-2</v>
      </c>
      <c r="AT74" s="78">
        <f>IF(AG74="",,(((AG74+1)/($G$116+1))-1))</f>
        <v>-0.1843152660993681</v>
      </c>
      <c r="AU74" s="78">
        <f>IF(AH74="",,(((AH74+1)/($H$116+1))-1))</f>
        <v>6.1797869170576947E-2</v>
      </c>
      <c r="AV74" s="78">
        <f>IF(AI74="",,(((AI74+1)/($I$116+1))-1))</f>
        <v>0.25044254565698254</v>
      </c>
      <c r="AW74" s="78">
        <f>IF(AJ74="",,(((AJ74+1)/($J$116+1))-1))</f>
        <v>0.28410822104859723</v>
      </c>
      <c r="AX74" s="78">
        <f>IF(AK74="",,(((AK74+1)/($K$116+1))-1))</f>
        <v>-3.184166115351994E-3</v>
      </c>
      <c r="AY74" s="79">
        <f>IF(AL74="",,(((AL74+1)/($L$116+1))-1))</f>
        <v>9.0341174684460901E-2</v>
      </c>
      <c r="AZ74" s="57">
        <f>AVERAGE(AO74:AY74)</f>
        <v>3.2446465633851694E-2</v>
      </c>
    </row>
    <row r="75" spans="1:52" ht="63.75">
      <c r="A75" s="506" t="s">
        <v>68</v>
      </c>
      <c r="B75" s="12">
        <v>1603299</v>
      </c>
      <c r="C75" s="2">
        <v>1916820</v>
      </c>
      <c r="D75" s="13">
        <v>1426805</v>
      </c>
      <c r="E75" s="2">
        <v>1518484</v>
      </c>
      <c r="F75" s="2">
        <v>1763207</v>
      </c>
      <c r="G75" s="2">
        <v>1578677</v>
      </c>
      <c r="H75" s="2">
        <v>1949816</v>
      </c>
      <c r="I75" s="2">
        <v>2185678</v>
      </c>
      <c r="J75" s="2">
        <v>3176061</v>
      </c>
      <c r="K75" s="2">
        <v>3137548</v>
      </c>
      <c r="L75" s="23">
        <v>3481108</v>
      </c>
      <c r="M75" s="463"/>
      <c r="O75" s="58">
        <f t="shared" ref="O75:O85" si="60">B75/$B$74</f>
        <v>0.74955820311623422</v>
      </c>
      <c r="P75" s="59">
        <f t="shared" ref="P75:P85" si="61">C75/$C$74</f>
        <v>0.73215505268802916</v>
      </c>
      <c r="Q75" s="59">
        <f t="shared" ref="Q75:Q85" si="62">D75/$D$74</f>
        <v>0.65175793133817295</v>
      </c>
      <c r="R75" s="59">
        <f t="shared" ref="R75:R85" si="63">E75/$E$74</f>
        <v>0.66078129235996486</v>
      </c>
      <c r="S75" s="59">
        <f t="shared" ref="S75:S85" si="64">F75/$F$74</f>
        <v>0.76496506867174185</v>
      </c>
      <c r="T75" s="59">
        <f t="shared" ref="T75:T85" si="65">G75/$G$74</f>
        <v>0.79591554813198873</v>
      </c>
      <c r="U75" s="59">
        <f t="shared" ref="U75:U85" si="66">H75/$H$74</f>
        <v>0.88297086600445152</v>
      </c>
      <c r="V75" s="59">
        <f t="shared" ref="V75:V85" si="67">I75/$I$74</f>
        <v>0.75760358185074539</v>
      </c>
      <c r="W75" s="59">
        <f t="shared" ref="W75:W85" si="68">J75/$J$74</f>
        <v>0.81116489827942362</v>
      </c>
      <c r="X75" s="59">
        <f t="shared" ref="X75:X85" si="69">K75/$K$74</f>
        <v>0.74662246253380871</v>
      </c>
      <c r="Y75" s="60">
        <f t="shared" ref="Y75:Y85" si="70">L75/$L$74</f>
        <v>0.74484444980789988</v>
      </c>
      <c r="Z75" s="65">
        <f t="shared" ref="Z75:Z85" si="71">AVERAGE(O75:Y75)</f>
        <v>0.75439448679840559</v>
      </c>
      <c r="AB75" s="68"/>
      <c r="AC75" s="59">
        <f t="shared" ref="AC75:AC84" si="72">+IF(B75=0,"",C75/B75-1)</f>
        <v>0.1955474306414462</v>
      </c>
      <c r="AD75" s="59">
        <f t="shared" si="58"/>
        <v>-0.25563954883609308</v>
      </c>
      <c r="AE75" s="59">
        <f t="shared" si="58"/>
        <v>6.4254750999610977E-2</v>
      </c>
      <c r="AF75" s="59">
        <f t="shared" si="58"/>
        <v>0.16116271228409396</v>
      </c>
      <c r="AG75" s="59">
        <f t="shared" si="58"/>
        <v>-0.10465589122547725</v>
      </c>
      <c r="AH75" s="59">
        <f t="shared" si="58"/>
        <v>0.23509495609298159</v>
      </c>
      <c r="AI75" s="59">
        <f t="shared" si="58"/>
        <v>0.1209662860495555</v>
      </c>
      <c r="AJ75" s="59">
        <f t="shared" si="58"/>
        <v>0.45312392767827658</v>
      </c>
      <c r="AK75" s="59">
        <f t="shared" si="58"/>
        <v>-1.2126026546719348E-2</v>
      </c>
      <c r="AL75" s="60">
        <f t="shared" si="58"/>
        <v>0.10949952000734342</v>
      </c>
      <c r="AM75" s="65">
        <f t="shared" ref="AM75:AM85" si="73">AVERAGE(AB75:AL75)</f>
        <v>9.6722811714501852E-2</v>
      </c>
      <c r="AO75" s="80"/>
      <c r="AP75" s="81">
        <f t="shared" si="59"/>
        <v>9.9353959210525256E-2</v>
      </c>
      <c r="AQ75" s="81">
        <f t="shared" ref="AQ75:AQ85" si="74">IF(AD75="",,(((AD75+1)/($D$116+1))-1))</f>
        <v>-0.30853650611806138</v>
      </c>
      <c r="AR75" s="81">
        <f t="shared" ref="AR75:AR85" si="75">IF(AE75="",,(((AE75+1)/($E$116+1))-1))</f>
        <v>-5.2764267692205769E-3</v>
      </c>
      <c r="AS75" s="81">
        <f t="shared" ref="AS75:AS85" si="76">IF(AF75="",,(((AF75+1)/($F$116+1))-1))</f>
        <v>9.0396011159821654E-2</v>
      </c>
      <c r="AT75" s="81">
        <f t="shared" ref="AT75:AT85" si="77">IF(AG75="",,(((AG75+1)/($G$116+1))-1))</f>
        <v>-0.15131266946255129</v>
      </c>
      <c r="AU75" s="81">
        <f t="shared" ref="AU75:AU85" si="78">IF(AH75="",,(((AH75+1)/($H$116+1))-1))</f>
        <v>0.17793475232846134</v>
      </c>
      <c r="AV75" s="81">
        <f t="shared" ref="AV75:AV85" si="79">IF(AI75="",,(((AI75+1)/($I$116+1))-1))</f>
        <v>7.2900350353709342E-2</v>
      </c>
      <c r="AW75" s="81">
        <f t="shared" ref="AW75:AW85" si="80">IF(AJ75="",,(((AJ75+1)/($J$116+1))-1))</f>
        <v>0.3748925420364051</v>
      </c>
      <c r="AX75" s="81">
        <f t="shared" ref="AX75:AX85" si="81">IF(AK75="",,(((AK75+1)/($K$116+1))-1))</f>
        <v>-8.2498399318955418E-2</v>
      </c>
      <c r="AY75" s="82">
        <f t="shared" ref="AY75:AY85" si="82">IF(AL75="",,(((AL75+1)/($L$116+1))-1))</f>
        <v>8.7744627458179902E-2</v>
      </c>
      <c r="AZ75" s="60">
        <f t="shared" ref="AZ75:AZ85" si="83">AVERAGE(AO75:AY75)</f>
        <v>3.5559824087831392E-2</v>
      </c>
    </row>
    <row r="76" spans="1:52">
      <c r="A76" s="506" t="s">
        <v>69</v>
      </c>
      <c r="B76" s="12">
        <v>535693</v>
      </c>
      <c r="C76" s="2">
        <v>701232</v>
      </c>
      <c r="D76" s="13">
        <v>762359</v>
      </c>
      <c r="E76" s="2">
        <v>779529</v>
      </c>
      <c r="F76" s="2">
        <v>541744</v>
      </c>
      <c r="G76" s="2">
        <v>404796</v>
      </c>
      <c r="H76" s="2">
        <v>258429</v>
      </c>
      <c r="I76" s="2">
        <v>699311</v>
      </c>
      <c r="J76" s="2">
        <v>739371</v>
      </c>
      <c r="K76" s="2">
        <v>1064774</v>
      </c>
      <c r="L76" s="23">
        <v>1192496</v>
      </c>
      <c r="M76" s="463"/>
      <c r="O76" s="58">
        <f t="shared" si="60"/>
        <v>0.25044179688376583</v>
      </c>
      <c r="P76" s="59">
        <f t="shared" si="61"/>
        <v>0.26784494731197089</v>
      </c>
      <c r="Q76" s="59">
        <f t="shared" si="62"/>
        <v>0.34824206866182705</v>
      </c>
      <c r="R76" s="59">
        <f t="shared" si="63"/>
        <v>0.33921870764003509</v>
      </c>
      <c r="S76" s="59">
        <f t="shared" si="64"/>
        <v>0.23503493132825817</v>
      </c>
      <c r="T76" s="59">
        <f t="shared" si="65"/>
        <v>0.2040844518680113</v>
      </c>
      <c r="U76" s="59">
        <f t="shared" si="66"/>
        <v>0.1170291339955485</v>
      </c>
      <c r="V76" s="59">
        <f t="shared" si="67"/>
        <v>0.24239641814925464</v>
      </c>
      <c r="W76" s="59">
        <f t="shared" si="68"/>
        <v>0.18883510172057644</v>
      </c>
      <c r="X76" s="59">
        <f t="shared" si="69"/>
        <v>0.25337753746619129</v>
      </c>
      <c r="Y76" s="60">
        <f t="shared" si="70"/>
        <v>0.25515555019210012</v>
      </c>
      <c r="Z76" s="65">
        <f t="shared" si="71"/>
        <v>0.24560551320159449</v>
      </c>
      <c r="AB76" s="68"/>
      <c r="AC76" s="59">
        <f t="shared" si="72"/>
        <v>0.30901841166489019</v>
      </c>
      <c r="AD76" s="59">
        <f t="shared" si="58"/>
        <v>8.7170864991900077E-2</v>
      </c>
      <c r="AE76" s="59">
        <f t="shared" si="58"/>
        <v>2.2522197547349743E-2</v>
      </c>
      <c r="AF76" s="59">
        <f t="shared" si="58"/>
        <v>-0.30503675937649533</v>
      </c>
      <c r="AG76" s="59">
        <f t="shared" si="58"/>
        <v>-0.25279098614843909</v>
      </c>
      <c r="AH76" s="59">
        <f t="shared" si="58"/>
        <v>-0.36158213025820418</v>
      </c>
      <c r="AI76" s="59">
        <f t="shared" si="58"/>
        <v>1.706008226630912</v>
      </c>
      <c r="AJ76" s="59">
        <f t="shared" si="58"/>
        <v>5.7284956192595216E-2</v>
      </c>
      <c r="AK76" s="59">
        <f t="shared" si="58"/>
        <v>0.44010787547793995</v>
      </c>
      <c r="AL76" s="60">
        <f t="shared" si="58"/>
        <v>0.11995221521186661</v>
      </c>
      <c r="AM76" s="65">
        <f t="shared" si="73"/>
        <v>0.18226548719343152</v>
      </c>
      <c r="AO76" s="80"/>
      <c r="AP76" s="81">
        <f t="shared" si="59"/>
        <v>0.20369509118610596</v>
      </c>
      <c r="AQ76" s="81">
        <f t="shared" si="74"/>
        <v>9.9125545674871862E-3</v>
      </c>
      <c r="AR76" s="81">
        <f t="shared" si="75"/>
        <v>-4.4282458596738294E-2</v>
      </c>
      <c r="AS76" s="81">
        <f t="shared" si="76"/>
        <v>-0.34739107838904615</v>
      </c>
      <c r="AT76" s="81">
        <f t="shared" si="77"/>
        <v>-0.2917283789501095</v>
      </c>
      <c r="AU76" s="81">
        <f t="shared" si="78"/>
        <v>-0.39112811402352432</v>
      </c>
      <c r="AV76" s="81">
        <f t="shared" si="79"/>
        <v>1.5899772460096786</v>
      </c>
      <c r="AW76" s="81">
        <f t="shared" si="80"/>
        <v>3.6423142453889668E-4</v>
      </c>
      <c r="AX76" s="81">
        <f t="shared" si="81"/>
        <v>0.33752008496140062</v>
      </c>
      <c r="AY76" s="82">
        <f t="shared" si="82"/>
        <v>9.7992367854771167E-2</v>
      </c>
      <c r="AZ76" s="60">
        <f t="shared" si="83"/>
        <v>0.11649315460445642</v>
      </c>
    </row>
    <row r="77" spans="1:52" ht="63.75">
      <c r="A77" s="506" t="s">
        <v>70</v>
      </c>
      <c r="B77" s="12">
        <v>485206</v>
      </c>
      <c r="C77" s="2">
        <v>522651</v>
      </c>
      <c r="D77" s="13">
        <v>539256</v>
      </c>
      <c r="E77" s="2">
        <v>541713</v>
      </c>
      <c r="F77" s="2">
        <v>553568</v>
      </c>
      <c r="G77" s="2">
        <v>506340</v>
      </c>
      <c r="H77" s="2">
        <v>562993</v>
      </c>
      <c r="I77" s="2">
        <v>661046</v>
      </c>
      <c r="J77" s="2">
        <v>721679</v>
      </c>
      <c r="K77" s="2">
        <v>773795</v>
      </c>
      <c r="L77" s="23">
        <v>793097</v>
      </c>
      <c r="M77" s="463"/>
      <c r="O77" s="58">
        <f t="shared" si="60"/>
        <v>0.22683862305235364</v>
      </c>
      <c r="P77" s="59">
        <f t="shared" si="61"/>
        <v>0.19963354432990635</v>
      </c>
      <c r="Q77" s="59">
        <f t="shared" si="62"/>
        <v>0.24632964912633315</v>
      </c>
      <c r="R77" s="59">
        <f t="shared" si="63"/>
        <v>0.23573104242665294</v>
      </c>
      <c r="S77" s="59">
        <f t="shared" si="64"/>
        <v>0.24016475838315002</v>
      </c>
      <c r="T77" s="59">
        <f t="shared" si="65"/>
        <v>0.25527950216614997</v>
      </c>
      <c r="U77" s="59">
        <f t="shared" si="66"/>
        <v>0.25495042443207161</v>
      </c>
      <c r="V77" s="59">
        <f t="shared" si="67"/>
        <v>0.22913293603545803</v>
      </c>
      <c r="W77" s="59">
        <f t="shared" si="68"/>
        <v>0.18431657094287424</v>
      </c>
      <c r="X77" s="59">
        <f t="shared" si="69"/>
        <v>0.18413510435421179</v>
      </c>
      <c r="Y77" s="60">
        <f t="shared" si="70"/>
        <v>0.16969709029691005</v>
      </c>
      <c r="Z77" s="65">
        <f t="shared" si="71"/>
        <v>0.22056447686782474</v>
      </c>
      <c r="AB77" s="68"/>
      <c r="AC77" s="59">
        <f t="shared" si="72"/>
        <v>7.7173406759190932E-2</v>
      </c>
      <c r="AD77" s="59">
        <f t="shared" si="58"/>
        <v>3.1770722719367317E-2</v>
      </c>
      <c r="AE77" s="59">
        <f t="shared" si="58"/>
        <v>4.556277537941078E-3</v>
      </c>
      <c r="AF77" s="59">
        <f t="shared" si="58"/>
        <v>2.1884281898348457E-2</v>
      </c>
      <c r="AG77" s="59">
        <f t="shared" si="58"/>
        <v>-8.5315625180646282E-2</v>
      </c>
      <c r="AH77" s="59">
        <f t="shared" si="58"/>
        <v>0.11188726942370741</v>
      </c>
      <c r="AI77" s="59">
        <f t="shared" si="58"/>
        <v>0.17416379954990568</v>
      </c>
      <c r="AJ77" s="59">
        <f t="shared" si="58"/>
        <v>9.1722815053717932E-2</v>
      </c>
      <c r="AK77" s="59">
        <f t="shared" si="58"/>
        <v>7.2214932123561892E-2</v>
      </c>
      <c r="AL77" s="60">
        <f t="shared" si="58"/>
        <v>2.494459126771309E-2</v>
      </c>
      <c r="AM77" s="65">
        <f t="shared" si="73"/>
        <v>5.250024711528075E-2</v>
      </c>
      <c r="AO77" s="80"/>
      <c r="AP77" s="81">
        <f t="shared" si="59"/>
        <v>-9.4957179225829691E-3</v>
      </c>
      <c r="AQ77" s="81">
        <f t="shared" si="74"/>
        <v>-4.1550652374020114E-2</v>
      </c>
      <c r="AR77" s="81">
        <f t="shared" si="75"/>
        <v>-6.1074607404485448E-2</v>
      </c>
      <c r="AS77" s="81">
        <f t="shared" si="76"/>
        <v>-4.0394138512209077E-2</v>
      </c>
      <c r="AT77" s="81">
        <f t="shared" si="77"/>
        <v>-0.13298023325102859</v>
      </c>
      <c r="AU77" s="81">
        <f t="shared" si="78"/>
        <v>6.0429118315647568E-2</v>
      </c>
      <c r="AV77" s="81">
        <f t="shared" si="79"/>
        <v>0.12381680661361583</v>
      </c>
      <c r="AW77" s="81">
        <f t="shared" si="80"/>
        <v>3.2948069877678066E-2</v>
      </c>
      <c r="AX77" s="81">
        <f t="shared" si="81"/>
        <v>-4.1655687530770535E-3</v>
      </c>
      <c r="AY77" s="82">
        <f t="shared" si="82"/>
        <v>4.8476384977578224E-3</v>
      </c>
      <c r="AZ77" s="60">
        <f t="shared" si="83"/>
        <v>-6.7619284912703971E-3</v>
      </c>
    </row>
    <row r="78" spans="1:52" ht="51">
      <c r="A78" s="506" t="s">
        <v>71</v>
      </c>
      <c r="B78" s="12">
        <v>390367</v>
      </c>
      <c r="C78" s="2">
        <v>458518</v>
      </c>
      <c r="D78" s="13">
        <v>486780</v>
      </c>
      <c r="E78" s="2">
        <v>492777</v>
      </c>
      <c r="F78" s="2">
        <v>484863</v>
      </c>
      <c r="G78" s="2">
        <v>495072</v>
      </c>
      <c r="H78" s="2">
        <v>547969</v>
      </c>
      <c r="I78" s="2">
        <v>626929</v>
      </c>
      <c r="J78" s="2">
        <v>757959</v>
      </c>
      <c r="K78" s="2">
        <v>822470</v>
      </c>
      <c r="L78" s="23">
        <v>827668</v>
      </c>
      <c r="M78" s="463"/>
      <c r="O78" s="58">
        <f t="shared" si="60"/>
        <v>0.18250044880953273</v>
      </c>
      <c r="P78" s="59">
        <f t="shared" si="61"/>
        <v>0.17513708665832459</v>
      </c>
      <c r="Q78" s="59">
        <f t="shared" si="62"/>
        <v>0.22235885479571196</v>
      </c>
      <c r="R78" s="59">
        <f t="shared" si="63"/>
        <v>0.21443612372950022</v>
      </c>
      <c r="S78" s="59">
        <f t="shared" si="64"/>
        <v>0.21035718329803973</v>
      </c>
      <c r="T78" s="59">
        <f t="shared" si="65"/>
        <v>0.24959855768140024</v>
      </c>
      <c r="U78" s="59">
        <f t="shared" si="66"/>
        <v>0.2481468315336387</v>
      </c>
      <c r="V78" s="59">
        <f t="shared" si="67"/>
        <v>0.2173072410328081</v>
      </c>
      <c r="W78" s="59">
        <f t="shared" si="68"/>
        <v>0.19358247059328321</v>
      </c>
      <c r="X78" s="59">
        <f t="shared" si="69"/>
        <v>0.19571798638942947</v>
      </c>
      <c r="Y78" s="60">
        <f t="shared" si="70"/>
        <v>0.17709416544491147</v>
      </c>
      <c r="Z78" s="65">
        <f t="shared" si="71"/>
        <v>0.20783972272423457</v>
      </c>
      <c r="AB78" s="68"/>
      <c r="AC78" s="59">
        <f t="shared" si="72"/>
        <v>0.17458186783206564</v>
      </c>
      <c r="AD78" s="59">
        <f t="shared" si="58"/>
        <v>6.1637711060416489E-2</v>
      </c>
      <c r="AE78" s="59">
        <f t="shared" si="58"/>
        <v>1.2319733760631113E-2</v>
      </c>
      <c r="AF78" s="59">
        <f t="shared" si="58"/>
        <v>-1.6060002800455386E-2</v>
      </c>
      <c r="AG78" s="59">
        <f t="shared" si="58"/>
        <v>2.1055432152999876E-2</v>
      </c>
      <c r="AH78" s="59">
        <f t="shared" si="58"/>
        <v>0.1068470848684635</v>
      </c>
      <c r="AI78" s="59">
        <f t="shared" si="58"/>
        <v>0.14409574264237568</v>
      </c>
      <c r="AJ78" s="59">
        <f t="shared" si="58"/>
        <v>0.20900293334651932</v>
      </c>
      <c r="AK78" s="59">
        <f t="shared" si="58"/>
        <v>8.5111463812686416E-2</v>
      </c>
      <c r="AL78" s="60">
        <f t="shared" si="58"/>
        <v>6.3199873551618158E-3</v>
      </c>
      <c r="AM78" s="65">
        <f t="shared" si="73"/>
        <v>8.0491195403086441E-2</v>
      </c>
      <c r="AO78" s="80"/>
      <c r="AP78" s="81">
        <f t="shared" si="59"/>
        <v>8.007528076511794E-2</v>
      </c>
      <c r="AQ78" s="81">
        <f t="shared" si="74"/>
        <v>-1.3806120705604719E-2</v>
      </c>
      <c r="AR78" s="81">
        <f t="shared" si="75"/>
        <v>-5.3818362687511834E-2</v>
      </c>
      <c r="AS78" s="81">
        <f t="shared" si="76"/>
        <v>-7.6025920556348381E-2</v>
      </c>
      <c r="AT78" s="81">
        <f t="shared" si="77"/>
        <v>-3.2152218848275016E-2</v>
      </c>
      <c r="AU78" s="81">
        <f t="shared" si="78"/>
        <v>5.5622193539149656E-2</v>
      </c>
      <c r="AV78" s="81">
        <f t="shared" si="79"/>
        <v>9.5038038516822132E-2</v>
      </c>
      <c r="AW78" s="81">
        <f t="shared" si="80"/>
        <v>0.1439142145392367</v>
      </c>
      <c r="AX78" s="81">
        <f t="shared" si="81"/>
        <v>7.8122632234478573E-3</v>
      </c>
      <c r="AY78" s="82">
        <f t="shared" si="82"/>
        <v>-1.3411777102782518E-2</v>
      </c>
      <c r="AZ78" s="60">
        <f t="shared" si="83"/>
        <v>1.9324759068325183E-2</v>
      </c>
    </row>
    <row r="79" spans="1:52" ht="25.5">
      <c r="A79" s="506" t="s">
        <v>72</v>
      </c>
      <c r="B79" s="12">
        <v>-339880</v>
      </c>
      <c r="C79" s="2">
        <v>-279937</v>
      </c>
      <c r="D79" s="13">
        <v>-263677</v>
      </c>
      <c r="E79" s="2">
        <v>-254961</v>
      </c>
      <c r="F79" s="2">
        <v>-496687</v>
      </c>
      <c r="G79" s="2">
        <v>-596616</v>
      </c>
      <c r="H79" s="2">
        <v>-852533</v>
      </c>
      <c r="I79" s="2">
        <v>-588664</v>
      </c>
      <c r="J79" s="2">
        <v>-740267</v>
      </c>
      <c r="K79" s="2">
        <v>-531491</v>
      </c>
      <c r="L79" s="23">
        <v>-428269</v>
      </c>
      <c r="M79" s="463"/>
      <c r="O79" s="58">
        <f t="shared" si="60"/>
        <v>-0.15889727497812053</v>
      </c>
      <c r="P79" s="59">
        <f t="shared" si="61"/>
        <v>-0.10692568367626006</v>
      </c>
      <c r="Q79" s="59">
        <f t="shared" si="62"/>
        <v>-0.12044643526021806</v>
      </c>
      <c r="R79" s="59">
        <f t="shared" si="63"/>
        <v>-0.11094845851611805</v>
      </c>
      <c r="S79" s="59">
        <f t="shared" si="64"/>
        <v>-0.21548701035293158</v>
      </c>
      <c r="T79" s="59">
        <f t="shared" si="65"/>
        <v>-0.30079360797953891</v>
      </c>
      <c r="U79" s="59">
        <f t="shared" si="66"/>
        <v>-0.38606812197016183</v>
      </c>
      <c r="V79" s="59">
        <f t="shared" si="67"/>
        <v>-0.20404375891901147</v>
      </c>
      <c r="W79" s="59">
        <f t="shared" si="68"/>
        <v>-0.18906393981558101</v>
      </c>
      <c r="X79" s="59">
        <f t="shared" si="69"/>
        <v>-0.12647555327744994</v>
      </c>
      <c r="Y79" s="60">
        <f t="shared" si="70"/>
        <v>-9.1635705549721377E-2</v>
      </c>
      <c r="Z79" s="65">
        <f t="shared" si="71"/>
        <v>-0.18279868639046482</v>
      </c>
      <c r="AB79" s="68"/>
      <c r="AC79" s="59">
        <f t="shared" si="72"/>
        <v>-0.17636518771331056</v>
      </c>
      <c r="AD79" s="59">
        <f t="shared" si="58"/>
        <v>-5.8084497583384853E-2</v>
      </c>
      <c r="AE79" s="59">
        <f t="shared" si="58"/>
        <v>-3.3055594534221799E-2</v>
      </c>
      <c r="AF79" s="59">
        <f t="shared" si="58"/>
        <v>0.9480901000545181</v>
      </c>
      <c r="AG79" s="59">
        <f t="shared" si="58"/>
        <v>0.20119109217676323</v>
      </c>
      <c r="AH79" s="59">
        <f t="shared" si="58"/>
        <v>0.42894759778483982</v>
      </c>
      <c r="AI79" s="59">
        <f t="shared" si="58"/>
        <v>-0.30951177256481566</v>
      </c>
      <c r="AJ79" s="59">
        <f t="shared" si="58"/>
        <v>0.25753740673796943</v>
      </c>
      <c r="AK79" s="59">
        <f t="shared" si="58"/>
        <v>-0.28202797098884591</v>
      </c>
      <c r="AL79" s="60">
        <f t="shared" si="58"/>
        <v>-0.19421213153186034</v>
      </c>
      <c r="AM79" s="65">
        <f t="shared" si="73"/>
        <v>7.8250904183765152E-2</v>
      </c>
      <c r="AO79" s="80"/>
      <c r="AP79" s="81">
        <f t="shared" si="59"/>
        <v>-0.24263465536856132</v>
      </c>
      <c r="AQ79" s="81">
        <f t="shared" si="74"/>
        <v>-0.12502043435521115</v>
      </c>
      <c r="AR79" s="81">
        <f t="shared" si="75"/>
        <v>-9.6229175188542682E-2</v>
      </c>
      <c r="AS79" s="81">
        <f t="shared" si="76"/>
        <v>0.82936435351161442</v>
      </c>
      <c r="AT79" s="81">
        <f t="shared" si="77"/>
        <v>0.13859649211316505</v>
      </c>
      <c r="AU79" s="81">
        <f t="shared" si="78"/>
        <v>0.36281589231939049</v>
      </c>
      <c r="AV79" s="81">
        <f t="shared" si="79"/>
        <v>-0.33911923101532893</v>
      </c>
      <c r="AW79" s="81">
        <f t="shared" si="80"/>
        <v>0.18983575242498762</v>
      </c>
      <c r="AX79" s="81">
        <f t="shared" si="81"/>
        <v>-0.33317355901258094</v>
      </c>
      <c r="AY79" s="82">
        <f t="shared" si="82"/>
        <v>-0.21001189365868667</v>
      </c>
      <c r="AZ79" s="60">
        <f t="shared" si="83"/>
        <v>1.744235417702459E-2</v>
      </c>
    </row>
    <row r="80" spans="1:52" ht="38.25">
      <c r="A80" s="506" t="s">
        <v>73</v>
      </c>
      <c r="B80" s="12">
        <v>549486</v>
      </c>
      <c r="C80" s="2">
        <v>485811</v>
      </c>
      <c r="D80" s="13">
        <v>513365</v>
      </c>
      <c r="E80" s="2">
        <v>491418</v>
      </c>
      <c r="F80" s="2">
        <v>700501</v>
      </c>
      <c r="G80" s="2">
        <v>798148</v>
      </c>
      <c r="H80" s="2">
        <v>1012138</v>
      </c>
      <c r="I80" s="2">
        <v>919401</v>
      </c>
      <c r="J80" s="2">
        <v>883828</v>
      </c>
      <c r="K80" s="2">
        <v>668144</v>
      </c>
      <c r="L80" s="23">
        <v>658118</v>
      </c>
      <c r="M80" s="463"/>
      <c r="O80" s="58">
        <f t="shared" si="60"/>
        <v>0.25689016134702702</v>
      </c>
      <c r="P80" s="59">
        <f t="shared" si="61"/>
        <v>0.18556201328315863</v>
      </c>
      <c r="Q80" s="59">
        <f t="shared" si="62"/>
        <v>0.23450275995768247</v>
      </c>
      <c r="R80" s="59">
        <f t="shared" si="63"/>
        <v>0.21384474326298414</v>
      </c>
      <c r="S80" s="59">
        <f t="shared" si="64"/>
        <v>0.30391144974448481</v>
      </c>
      <c r="T80" s="59">
        <f t="shared" si="65"/>
        <v>0.40239922600408473</v>
      </c>
      <c r="U80" s="59">
        <f t="shared" si="66"/>
        <v>0.45834497530844631</v>
      </c>
      <c r="V80" s="59">
        <f t="shared" si="67"/>
        <v>0.31868440399599446</v>
      </c>
      <c r="W80" s="59">
        <f t="shared" si="68"/>
        <v>0.2257293703478952</v>
      </c>
      <c r="X80" s="59">
        <f t="shared" si="69"/>
        <v>0.15899400379123732</v>
      </c>
      <c r="Y80" s="60">
        <f t="shared" si="70"/>
        <v>0.140815952742252</v>
      </c>
      <c r="Z80" s="65">
        <f t="shared" si="71"/>
        <v>0.26360718725320437</v>
      </c>
      <c r="AB80" s="68"/>
      <c r="AC80" s="59">
        <f t="shared" si="72"/>
        <v>-0.11588102335637307</v>
      </c>
      <c r="AD80" s="59">
        <f t="shared" si="58"/>
        <v>5.6717530068277622E-2</v>
      </c>
      <c r="AE80" s="59">
        <f t="shared" si="58"/>
        <v>-4.2751258850915019E-2</v>
      </c>
      <c r="AF80" s="59">
        <f t="shared" si="58"/>
        <v>0.42546874554859615</v>
      </c>
      <c r="AG80" s="59">
        <f t="shared" si="58"/>
        <v>0.13939594661535093</v>
      </c>
      <c r="AH80" s="59">
        <f t="shared" si="58"/>
        <v>0.26810817041450963</v>
      </c>
      <c r="AI80" s="59">
        <f t="shared" si="58"/>
        <v>-9.1624857479908894E-2</v>
      </c>
      <c r="AJ80" s="59">
        <f t="shared" si="58"/>
        <v>-3.8691495876119308E-2</v>
      </c>
      <c r="AK80" s="59">
        <f t="shared" si="58"/>
        <v>-0.244033907049788</v>
      </c>
      <c r="AL80" s="60">
        <f t="shared" si="58"/>
        <v>-1.5005747264062785E-2</v>
      </c>
      <c r="AM80" s="65">
        <f t="shared" si="73"/>
        <v>3.4170210276956728E-2</v>
      </c>
      <c r="AO80" s="80"/>
      <c r="AP80" s="81">
        <f t="shared" si="59"/>
        <v>-0.18701703297137751</v>
      </c>
      <c r="AQ80" s="81">
        <f t="shared" si="74"/>
        <v>-1.8376655765650174E-2</v>
      </c>
      <c r="AR80" s="81">
        <f t="shared" si="75"/>
        <v>-0.10529139064484072</v>
      </c>
      <c r="AS80" s="81">
        <f t="shared" si="76"/>
        <v>0.33859399525645251</v>
      </c>
      <c r="AT80" s="81">
        <f t="shared" si="77"/>
        <v>8.0021518968515171E-2</v>
      </c>
      <c r="AU80" s="81">
        <f t="shared" si="78"/>
        <v>0.20942011484537204</v>
      </c>
      <c r="AV80" s="81">
        <f t="shared" si="79"/>
        <v>-0.13057509330006589</v>
      </c>
      <c r="AW80" s="81">
        <f t="shared" si="80"/>
        <v>-9.0445165934449068E-2</v>
      </c>
      <c r="AX80" s="81">
        <f t="shared" si="81"/>
        <v>-0.29788604722744316</v>
      </c>
      <c r="AY80" s="82">
        <f t="shared" si="82"/>
        <v>-3.431936006280667E-2</v>
      </c>
      <c r="AZ80" s="60">
        <f t="shared" si="83"/>
        <v>-2.3587511683629346E-2</v>
      </c>
    </row>
    <row r="81" spans="1:52" ht="38.25">
      <c r="A81" s="506" t="s">
        <v>74</v>
      </c>
      <c r="B81" s="12">
        <v>17817</v>
      </c>
      <c r="C81" s="2">
        <v>30557</v>
      </c>
      <c r="D81" s="13">
        <v>50671</v>
      </c>
      <c r="E81" s="2">
        <v>47503</v>
      </c>
      <c r="F81" s="2">
        <v>69287</v>
      </c>
      <c r="G81" s="2">
        <v>69979</v>
      </c>
      <c r="H81" s="2">
        <v>53876</v>
      </c>
      <c r="I81" s="2">
        <v>73052</v>
      </c>
      <c r="J81" s="2">
        <v>94514</v>
      </c>
      <c r="K81" s="2">
        <v>102657</v>
      </c>
      <c r="L81" s="23">
        <v>121159</v>
      </c>
      <c r="M81" s="463"/>
      <c r="O81" s="58">
        <f t="shared" si="60"/>
        <v>8.3296244212227068E-3</v>
      </c>
      <c r="P81" s="59">
        <f t="shared" si="61"/>
        <v>1.1671655108454682E-2</v>
      </c>
      <c r="Q81" s="59">
        <f t="shared" si="62"/>
        <v>2.314627867076199E-2</v>
      </c>
      <c r="R81" s="59">
        <f t="shared" si="63"/>
        <v>2.0671336498096399E-2</v>
      </c>
      <c r="S81" s="59">
        <f t="shared" si="64"/>
        <v>3.0060075029794561E-2</v>
      </c>
      <c r="T81" s="59">
        <f t="shared" si="65"/>
        <v>3.5281044914652226E-2</v>
      </c>
      <c r="U81" s="59">
        <f t="shared" si="66"/>
        <v>2.4397655151489079E-2</v>
      </c>
      <c r="V81" s="59">
        <f t="shared" si="67"/>
        <v>2.5321413703830412E-2</v>
      </c>
      <c r="W81" s="59">
        <f t="shared" si="68"/>
        <v>2.4138843427749478E-2</v>
      </c>
      <c r="X81" s="59">
        <f t="shared" si="69"/>
        <v>2.4428637310515471E-2</v>
      </c>
      <c r="Y81" s="60">
        <f t="shared" si="70"/>
        <v>2.5924104823600802E-2</v>
      </c>
      <c r="Z81" s="65">
        <f t="shared" si="71"/>
        <v>2.3033697187287983E-2</v>
      </c>
      <c r="AB81" s="68"/>
      <c r="AC81" s="59">
        <f t="shared" si="72"/>
        <v>0.71504742661503062</v>
      </c>
      <c r="AD81" s="59">
        <f t="shared" si="58"/>
        <v>0.65824524658834305</v>
      </c>
      <c r="AE81" s="59">
        <f t="shared" si="58"/>
        <v>-6.2520968601369575E-2</v>
      </c>
      <c r="AF81" s="59">
        <f t="shared" si="58"/>
        <v>0.45858156326968813</v>
      </c>
      <c r="AG81" s="59">
        <f t="shared" si="58"/>
        <v>9.9874435319757815E-3</v>
      </c>
      <c r="AH81" s="59">
        <f t="shared" si="58"/>
        <v>-0.23011189071007021</v>
      </c>
      <c r="AI81" s="59">
        <f t="shared" si="58"/>
        <v>0.35592842824263116</v>
      </c>
      <c r="AJ81" s="59">
        <f t="shared" si="58"/>
        <v>0.29379072441548493</v>
      </c>
      <c r="AK81" s="59">
        <f t="shared" si="58"/>
        <v>8.6156548236240083E-2</v>
      </c>
      <c r="AL81" s="60">
        <f t="shared" si="58"/>
        <v>0.18023125554029429</v>
      </c>
      <c r="AM81" s="65">
        <f t="shared" si="73"/>
        <v>0.2465335777128248</v>
      </c>
      <c r="AO81" s="80"/>
      <c r="AP81" s="81">
        <f t="shared" si="59"/>
        <v>0.57705510493336165</v>
      </c>
      <c r="AQ81" s="81">
        <f t="shared" si="74"/>
        <v>0.54040431638489839</v>
      </c>
      <c r="AR81" s="81">
        <f t="shared" si="75"/>
        <v>-0.12376948182201108</v>
      </c>
      <c r="AS81" s="81">
        <f t="shared" si="76"/>
        <v>0.36968876257835315</v>
      </c>
      <c r="AT81" s="81">
        <f t="shared" si="77"/>
        <v>-4.2643449678008816E-2</v>
      </c>
      <c r="AU81" s="81">
        <f t="shared" si="78"/>
        <v>-0.26574231814060756</v>
      </c>
      <c r="AV81" s="81">
        <f t="shared" si="79"/>
        <v>0.29778754617403447</v>
      </c>
      <c r="AW81" s="81">
        <f t="shared" si="80"/>
        <v>0.224137311396996</v>
      </c>
      <c r="AX81" s="81">
        <f>IF(AK81="",,(((AK81+1)/($K$116+1))-1))</f>
        <v>8.7828998200427666E-3</v>
      </c>
      <c r="AY81" s="82">
        <f t="shared" si="82"/>
        <v>0.15708946621597475</v>
      </c>
      <c r="AZ81" s="60">
        <f t="shared" si="83"/>
        <v>0.17427901578630337</v>
      </c>
    </row>
    <row r="82" spans="1:52" ht="51">
      <c r="A82" s="506" t="s">
        <v>75</v>
      </c>
      <c r="B82" s="12">
        <v>191789</v>
      </c>
      <c r="C82" s="2">
        <v>175317</v>
      </c>
      <c r="D82" s="13">
        <v>199017</v>
      </c>
      <c r="E82" s="2">
        <v>188954</v>
      </c>
      <c r="F82" s="2">
        <v>134527</v>
      </c>
      <c r="G82" s="2">
        <v>131553</v>
      </c>
      <c r="H82" s="2">
        <v>105729</v>
      </c>
      <c r="I82" s="2">
        <v>257685</v>
      </c>
      <c r="J82" s="2">
        <v>49047</v>
      </c>
      <c r="K82" s="2">
        <v>33996</v>
      </c>
      <c r="L82" s="23">
        <v>108690</v>
      </c>
      <c r="M82" s="463"/>
      <c r="O82" s="58">
        <f t="shared" si="60"/>
        <v>8.9663261947683773E-2</v>
      </c>
      <c r="P82" s="59">
        <f t="shared" si="61"/>
        <v>6.6964674498443885E-2</v>
      </c>
      <c r="Q82" s="59">
        <f t="shared" si="62"/>
        <v>9.0910046026702426E-2</v>
      </c>
      <c r="R82" s="59">
        <f t="shared" si="63"/>
        <v>8.2224948248769691E-2</v>
      </c>
      <c r="S82" s="59">
        <f t="shared" si="64"/>
        <v>5.8364364361758667E-2</v>
      </c>
      <c r="T82" s="59">
        <f t="shared" si="65"/>
        <v>6.6324573109893606E-2</v>
      </c>
      <c r="U82" s="59">
        <f t="shared" si="66"/>
        <v>4.7879198186795396E-2</v>
      </c>
      <c r="V82" s="59">
        <f t="shared" si="67"/>
        <v>8.9319231373152549E-2</v>
      </c>
      <c r="W82" s="59">
        <f t="shared" si="68"/>
        <v>1.2526587104564706E-2</v>
      </c>
      <c r="X82" s="59">
        <f t="shared" si="69"/>
        <v>8.0898132032719058E-3</v>
      </c>
      <c r="Y82" s="60">
        <f t="shared" si="70"/>
        <v>2.3256142368929845E-2</v>
      </c>
      <c r="Z82" s="65">
        <f t="shared" si="71"/>
        <v>5.7774803675451493E-2</v>
      </c>
      <c r="AB82" s="68"/>
      <c r="AC82" s="59">
        <f t="shared" si="72"/>
        <v>-8.5886051859074275E-2</v>
      </c>
      <c r="AD82" s="59">
        <f t="shared" si="58"/>
        <v>0.13518369581957246</v>
      </c>
      <c r="AE82" s="59">
        <f t="shared" si="58"/>
        <v>-5.0563519699322157E-2</v>
      </c>
      <c r="AF82" s="59">
        <f t="shared" si="58"/>
        <v>-0.28804365083565309</v>
      </c>
      <c r="AG82" s="59">
        <f t="shared" si="58"/>
        <v>-2.2107086309811397E-2</v>
      </c>
      <c r="AH82" s="59">
        <f t="shared" si="58"/>
        <v>-0.19630111057900623</v>
      </c>
      <c r="AI82" s="59">
        <f t="shared" si="58"/>
        <v>1.4372215759157845</v>
      </c>
      <c r="AJ82" s="59">
        <f t="shared" si="58"/>
        <v>-0.80966296059141973</v>
      </c>
      <c r="AK82" s="59">
        <f t="shared" si="58"/>
        <v>-0.30686892164658386</v>
      </c>
      <c r="AL82" s="60">
        <f t="shared" si="58"/>
        <v>2.197140840098835</v>
      </c>
      <c r="AM82" s="65">
        <f t="shared" si="73"/>
        <v>0.20101128103133212</v>
      </c>
      <c r="AO82" s="80"/>
      <c r="AP82" s="81">
        <f t="shared" si="59"/>
        <v>-0.15943544998535564</v>
      </c>
      <c r="AQ82" s="81">
        <f t="shared" si="74"/>
        <v>5.4513419247164352E-2</v>
      </c>
      <c r="AR82" s="81">
        <f t="shared" si="75"/>
        <v>-0.11259325142473331</v>
      </c>
      <c r="AS82" s="81">
        <f t="shared" si="76"/>
        <v>-0.33143360957428214</v>
      </c>
      <c r="AT82" s="81">
        <f t="shared" si="77"/>
        <v>-7.3065519348587737E-2</v>
      </c>
      <c r="AU82" s="81">
        <f t="shared" si="78"/>
        <v>-0.23349630116576481</v>
      </c>
      <c r="AV82" s="81">
        <f t="shared" si="79"/>
        <v>1.332715903441601</v>
      </c>
      <c r="AW82" s="81">
        <f t="shared" si="80"/>
        <v>-0.8199100771988076</v>
      </c>
      <c r="AX82" s="81">
        <f t="shared" si="81"/>
        <v>-0.35624493512267474</v>
      </c>
      <c r="AY82" s="82">
        <f t="shared" si="82"/>
        <v>2.1344518040184655</v>
      </c>
      <c r="AZ82" s="60">
        <f t="shared" si="83"/>
        <v>0.14355019828870247</v>
      </c>
    </row>
    <row r="83" spans="1:52" ht="25.5">
      <c r="A83" s="506" t="s">
        <v>76</v>
      </c>
      <c r="B83" s="12">
        <v>-151950</v>
      </c>
      <c r="C83" s="2">
        <v>-152779</v>
      </c>
      <c r="D83" s="13">
        <v>-142034</v>
      </c>
      <c r="E83" s="2">
        <v>-149620</v>
      </c>
      <c r="F83" s="2">
        <v>-125368</v>
      </c>
      <c r="G83" s="2">
        <v>-118615</v>
      </c>
      <c r="H83" s="2">
        <v>-109118</v>
      </c>
      <c r="I83" s="2">
        <v>-92108</v>
      </c>
      <c r="J83" s="1"/>
      <c r="K83" s="1"/>
      <c r="L83" s="24"/>
      <c r="M83" s="463"/>
      <c r="O83" s="58">
        <f t="shared" si="60"/>
        <v>-7.1038133849962978E-2</v>
      </c>
      <c r="P83" s="59">
        <f t="shared" si="61"/>
        <v>-5.8355983761972645E-2</v>
      </c>
      <c r="Q83" s="59">
        <f t="shared" si="62"/>
        <v>-6.4880474921020073E-2</v>
      </c>
      <c r="R83" s="59">
        <f t="shared" si="63"/>
        <v>-6.5108421927987353E-2</v>
      </c>
      <c r="S83" s="59">
        <f t="shared" si="64"/>
        <v>-5.4390744098247644E-2</v>
      </c>
      <c r="T83" s="59">
        <f t="shared" si="65"/>
        <v>-5.9801671109210967E-2</v>
      </c>
      <c r="U83" s="59">
        <f t="shared" si="66"/>
        <v>-4.9413901084345263E-2</v>
      </c>
      <c r="V83" s="59">
        <f t="shared" si="67"/>
        <v>-3.1926638195154296E-2</v>
      </c>
      <c r="W83" s="59">
        <f t="shared" si="68"/>
        <v>0</v>
      </c>
      <c r="X83" s="59">
        <f t="shared" si="69"/>
        <v>0</v>
      </c>
      <c r="Y83" s="60">
        <f t="shared" si="70"/>
        <v>0</v>
      </c>
      <c r="Z83" s="65">
        <f t="shared" si="71"/>
        <v>-4.1355997177081931E-2</v>
      </c>
      <c r="AB83" s="68"/>
      <c r="AC83" s="59">
        <f t="shared" si="72"/>
        <v>5.455742020401555E-3</v>
      </c>
      <c r="AD83" s="59">
        <f t="shared" si="58"/>
        <v>-7.0330346448137515E-2</v>
      </c>
      <c r="AE83" s="59">
        <f t="shared" si="58"/>
        <v>5.3409746961994964E-2</v>
      </c>
      <c r="AF83" s="59">
        <f t="shared" si="58"/>
        <v>-0.16209062959497389</v>
      </c>
      <c r="AG83" s="59">
        <f t="shared" si="58"/>
        <v>-5.386542020292262E-2</v>
      </c>
      <c r="AH83" s="59">
        <f t="shared" si="58"/>
        <v>-8.0065758968089984E-2</v>
      </c>
      <c r="AI83" s="59">
        <f t="shared" si="58"/>
        <v>-0.15588628823842077</v>
      </c>
      <c r="AJ83" s="59">
        <f t="shared" si="58"/>
        <v>-1</v>
      </c>
      <c r="AK83" s="59" t="str">
        <f t="shared" si="58"/>
        <v/>
      </c>
      <c r="AL83" s="60" t="str">
        <f t="shared" si="58"/>
        <v/>
      </c>
      <c r="AM83" s="65">
        <f t="shared" si="73"/>
        <v>-0.18292161930876855</v>
      </c>
      <c r="AO83" s="80"/>
      <c r="AP83" s="81">
        <f t="shared" si="59"/>
        <v>-7.5442995843308824E-2</v>
      </c>
      <c r="AQ83" s="81">
        <f t="shared" si="74"/>
        <v>-0.13639604872098232</v>
      </c>
      <c r="AR83" s="81">
        <f t="shared" si="75"/>
        <v>-1.5412891894574399E-2</v>
      </c>
      <c r="AS83" s="81">
        <f t="shared" si="76"/>
        <v>-0.21315675612261609</v>
      </c>
      <c r="AT83" s="81">
        <f t="shared" si="77"/>
        <v>-0.1031689123903452</v>
      </c>
      <c r="AU83" s="81">
        <f t="shared" si="78"/>
        <v>-0.12264032249289203</v>
      </c>
      <c r="AV83" s="81">
        <f t="shared" si="79"/>
        <v>-0.19208105688975952</v>
      </c>
      <c r="AW83" s="81">
        <f t="shared" si="80"/>
        <v>-1</v>
      </c>
      <c r="AX83" s="81">
        <f t="shared" si="81"/>
        <v>0</v>
      </c>
      <c r="AY83" s="82">
        <f t="shared" si="82"/>
        <v>0</v>
      </c>
      <c r="AZ83" s="60">
        <f t="shared" si="83"/>
        <v>-0.18582989843544784</v>
      </c>
    </row>
    <row r="84" spans="1:52" ht="63.75">
      <c r="A84" s="506" t="s">
        <v>77</v>
      </c>
      <c r="B84" s="12">
        <v>30301</v>
      </c>
      <c r="C84" s="2">
        <v>33156</v>
      </c>
      <c r="D84" s="13">
        <v>42760</v>
      </c>
      <c r="E84" s="2">
        <v>46080</v>
      </c>
      <c r="F84" s="2">
        <v>57550</v>
      </c>
      <c r="G84" s="2">
        <v>59705</v>
      </c>
      <c r="H84" s="2">
        <v>61940</v>
      </c>
      <c r="I84" s="2">
        <v>64796</v>
      </c>
      <c r="J84" s="2">
        <v>33591</v>
      </c>
      <c r="K84" s="2">
        <v>29832</v>
      </c>
      <c r="L84" s="23">
        <v>28968</v>
      </c>
      <c r="M84" s="463"/>
      <c r="O84" s="58">
        <f t="shared" si="60"/>
        <v>1.4166018386230524E-2</v>
      </c>
      <c r="P84" s="59">
        <f t="shared" si="61"/>
        <v>1.2664377942072961E-2</v>
      </c>
      <c r="Q84" s="59">
        <f t="shared" si="62"/>
        <v>1.9532570424143646E-2</v>
      </c>
      <c r="R84" s="59">
        <f t="shared" si="63"/>
        <v>2.0052105884518494E-2</v>
      </c>
      <c r="S84" s="59">
        <f t="shared" si="64"/>
        <v>2.4967992811994702E-2</v>
      </c>
      <c r="T84" s="59">
        <f t="shared" si="65"/>
        <v>3.0101241610044602E-2</v>
      </c>
      <c r="U84" s="59">
        <f t="shared" si="66"/>
        <v>2.8049423863747001E-2</v>
      </c>
      <c r="V84" s="59">
        <f t="shared" si="67"/>
        <v>2.2459704352425607E-2</v>
      </c>
      <c r="W84" s="59">
        <f t="shared" si="68"/>
        <v>8.5791299657355814E-3</v>
      </c>
      <c r="X84" s="59">
        <f t="shared" si="69"/>
        <v>7.0989324473469664E-3</v>
      </c>
      <c r="Y84" s="60">
        <f t="shared" si="70"/>
        <v>6.1982144828701792E-3</v>
      </c>
      <c r="Z84" s="65">
        <f t="shared" si="71"/>
        <v>1.7624519288284572E-2</v>
      </c>
      <c r="AB84" s="68"/>
      <c r="AC84" s="59">
        <f t="shared" si="72"/>
        <v>9.4221312827959425E-2</v>
      </c>
      <c r="AD84" s="59">
        <f t="shared" si="58"/>
        <v>0.28966099650138744</v>
      </c>
      <c r="AE84" s="59">
        <f t="shared" si="58"/>
        <v>7.7642656688494016E-2</v>
      </c>
      <c r="AF84" s="59">
        <f t="shared" si="58"/>
        <v>0.24891493055555558</v>
      </c>
      <c r="AG84" s="59">
        <f t="shared" si="58"/>
        <v>3.7445699391833287E-2</v>
      </c>
      <c r="AH84" s="59">
        <f t="shared" si="58"/>
        <v>3.7434050749518555E-2</v>
      </c>
      <c r="AI84" s="59">
        <f t="shared" si="58"/>
        <v>4.6109137875363304E-2</v>
      </c>
      <c r="AJ84" s="59">
        <f t="shared" si="58"/>
        <v>-0.48158836965244767</v>
      </c>
      <c r="AK84" s="59">
        <f t="shared" si="58"/>
        <v>-0.11190497454675363</v>
      </c>
      <c r="AL84" s="60">
        <f t="shared" si="58"/>
        <v>-2.8962188254223697E-2</v>
      </c>
      <c r="AM84" s="65">
        <f t="shared" si="73"/>
        <v>2.089732521366866E-2</v>
      </c>
      <c r="AO84" s="80"/>
      <c r="AP84" s="81">
        <f t="shared" si="59"/>
        <v>6.180517542951236E-3</v>
      </c>
      <c r="AQ84" s="81">
        <f t="shared" si="74"/>
        <v>0.19801300185916149</v>
      </c>
      <c r="AR84" s="81">
        <f t="shared" si="75"/>
        <v>7.2368040830861347E-3</v>
      </c>
      <c r="AS84" s="81">
        <f t="shared" si="76"/>
        <v>0.17280019772331268</v>
      </c>
      <c r="AT84" s="81">
        <f t="shared" si="77"/>
        <v>-1.6616055697818766E-2</v>
      </c>
      <c r="AU84" s="81">
        <f t="shared" si="78"/>
        <v>-1.057840484391992E-2</v>
      </c>
      <c r="AV84" s="81">
        <f t="shared" si="79"/>
        <v>1.2530033263431495E-3</v>
      </c>
      <c r="AW84" s="81">
        <f t="shared" si="80"/>
        <v>-0.50949793703514779</v>
      </c>
      <c r="AX84" s="81">
        <f t="shared" si="81"/>
        <v>-0.1751694757562493</v>
      </c>
      <c r="AY84" s="82">
        <f t="shared" si="82"/>
        <v>-4.8002145347278202E-2</v>
      </c>
      <c r="AZ84" s="60">
        <f t="shared" si="83"/>
        <v>-3.7438049414555932E-2</v>
      </c>
    </row>
    <row r="85" spans="1:52" ht="26.25" thickBot="1">
      <c r="A85" s="507" t="s">
        <v>78</v>
      </c>
      <c r="B85" s="14">
        <v>9538</v>
      </c>
      <c r="C85" s="15">
        <v>-10618</v>
      </c>
      <c r="D85" s="16">
        <v>14223</v>
      </c>
      <c r="E85" s="15">
        <v>-6746</v>
      </c>
      <c r="F85" s="15">
        <v>-48391</v>
      </c>
      <c r="G85" s="15">
        <v>-46767</v>
      </c>
      <c r="H85" s="15">
        <v>-65329</v>
      </c>
      <c r="I85" s="15">
        <v>100781</v>
      </c>
      <c r="J85" s="15">
        <v>15456</v>
      </c>
      <c r="K85" s="15">
        <v>4164</v>
      </c>
      <c r="L85" s="135">
        <v>79722</v>
      </c>
      <c r="M85" s="463"/>
      <c r="O85" s="61">
        <f t="shared" si="60"/>
        <v>4.4591097114902722E-3</v>
      </c>
      <c r="P85" s="62">
        <f t="shared" si="61"/>
        <v>-4.0556872056017219E-3</v>
      </c>
      <c r="Q85" s="62">
        <f t="shared" si="62"/>
        <v>6.4970006815387059E-3</v>
      </c>
      <c r="R85" s="62">
        <f t="shared" si="63"/>
        <v>-2.9355795637361496E-3</v>
      </c>
      <c r="S85" s="62">
        <f t="shared" si="64"/>
        <v>-2.0994372548483676E-2</v>
      </c>
      <c r="T85" s="62">
        <f t="shared" si="65"/>
        <v>-2.3578339609361964E-2</v>
      </c>
      <c r="U85" s="62">
        <f t="shared" si="66"/>
        <v>-2.9584126761296868E-2</v>
      </c>
      <c r="V85" s="62">
        <f t="shared" si="67"/>
        <v>3.4932888825572647E-2</v>
      </c>
      <c r="W85" s="62">
        <f t="shared" si="68"/>
        <v>3.947457138829125E-3</v>
      </c>
      <c r="X85" s="62">
        <f t="shared" si="69"/>
        <v>9.9088075592493872E-4</v>
      </c>
      <c r="Y85" s="63">
        <f t="shared" si="70"/>
        <v>1.7057927886059667E-2</v>
      </c>
      <c r="Z85" s="66">
        <f t="shared" si="71"/>
        <v>-1.2057127899150013E-3</v>
      </c>
      <c r="AB85" s="69"/>
      <c r="AC85" s="62">
        <f>+IF(B85=0,"",C85/B85-1)</f>
        <v>-2.113231285384777</v>
      </c>
      <c r="AD85" s="62">
        <f t="shared" si="58"/>
        <v>-2.3395177999623282</v>
      </c>
      <c r="AE85" s="62">
        <f t="shared" si="58"/>
        <v>-1.4743021865991703</v>
      </c>
      <c r="AF85" s="62">
        <f t="shared" si="58"/>
        <v>6.1732878742958794</v>
      </c>
      <c r="AG85" s="62">
        <f t="shared" si="58"/>
        <v>-3.3559959496600622E-2</v>
      </c>
      <c r="AH85" s="62">
        <f t="shared" si="58"/>
        <v>0.39690379968781397</v>
      </c>
      <c r="AI85" s="62">
        <f t="shared" si="58"/>
        <v>-2.5426686463898118</v>
      </c>
      <c r="AJ85" s="62">
        <f t="shared" si="58"/>
        <v>-0.84663775910141792</v>
      </c>
      <c r="AK85" s="62">
        <f t="shared" si="58"/>
        <v>-0.73059006211180122</v>
      </c>
      <c r="AL85" s="63">
        <f t="shared" si="58"/>
        <v>18.145533141210375</v>
      </c>
      <c r="AM85" s="66">
        <f t="shared" si="73"/>
        <v>1.4635217116148163</v>
      </c>
      <c r="AO85" s="83"/>
      <c r="AP85" s="84">
        <f t="shared" si="59"/>
        <v>-2.023660952077956</v>
      </c>
      <c r="AQ85" s="84">
        <f t="shared" si="74"/>
        <v>-2.244326799779218</v>
      </c>
      <c r="AR85" s="84">
        <f t="shared" si="75"/>
        <v>-1.4433145028499581</v>
      </c>
      <c r="AS85" s="84">
        <f t="shared" si="76"/>
        <v>5.7361140710826177</v>
      </c>
      <c r="AT85" s="84">
        <f t="shared" si="77"/>
        <v>-8.3921578238821404E-2</v>
      </c>
      <c r="AU85" s="84">
        <f t="shared" si="78"/>
        <v>0.33225508143689364</v>
      </c>
      <c r="AV85" s="84">
        <f t="shared" si="79"/>
        <v>-2.4765205267896362</v>
      </c>
      <c r="AW85" s="84">
        <f t="shared" si="80"/>
        <v>-0.85489427486178249</v>
      </c>
      <c r="AX85" s="84">
        <f t="shared" si="81"/>
        <v>-0.74978179819058344</v>
      </c>
      <c r="AY85" s="85">
        <f t="shared" si="82"/>
        <v>17.770130530598408</v>
      </c>
      <c r="AZ85" s="63">
        <f t="shared" si="83"/>
        <v>1.3962079250329964</v>
      </c>
    </row>
    <row r="87" spans="1:52" ht="15.75" thickBot="1"/>
    <row r="88" spans="1:52">
      <c r="A88" s="673" t="s">
        <v>239</v>
      </c>
      <c r="B88" s="674"/>
      <c r="C88" s="674"/>
      <c r="D88" s="674"/>
      <c r="E88" s="674"/>
      <c r="F88" s="674"/>
      <c r="G88" s="674"/>
      <c r="H88" s="674"/>
      <c r="I88" s="674"/>
      <c r="J88" s="674"/>
      <c r="K88" s="674"/>
      <c r="L88" s="674"/>
      <c r="M88" s="675"/>
    </row>
    <row r="89" spans="1:52" ht="15.75" thickBot="1">
      <c r="A89" s="687" t="s">
        <v>240</v>
      </c>
      <c r="B89" s="688"/>
      <c r="C89" s="688"/>
      <c r="D89" s="688"/>
      <c r="E89" s="688"/>
      <c r="F89" s="688"/>
      <c r="G89" s="688"/>
      <c r="H89" s="688"/>
      <c r="I89" s="688"/>
      <c r="J89" s="688"/>
      <c r="K89" s="688"/>
      <c r="L89" s="688"/>
      <c r="M89" s="689"/>
    </row>
    <row r="90" spans="1:52" ht="30">
      <c r="A90" s="29" t="s">
        <v>241</v>
      </c>
      <c r="B90" s="464">
        <f>B26/B49</f>
        <v>4.2641232277367651</v>
      </c>
      <c r="C90" s="464">
        <f t="shared" ref="C90:L90" si="84">C26/C49</f>
        <v>3.8401249295758673</v>
      </c>
      <c r="D90" s="464">
        <f t="shared" si="84"/>
        <v>2.8334119811687324</v>
      </c>
      <c r="E90" s="464">
        <f t="shared" si="84"/>
        <v>3.3761680001627909</v>
      </c>
      <c r="F90" s="464">
        <f t="shared" si="84"/>
        <v>3.2737880836512865</v>
      </c>
      <c r="G90" s="464">
        <f t="shared" si="84"/>
        <v>3.3800814296511201</v>
      </c>
      <c r="H90" s="464">
        <f t="shared" si="84"/>
        <v>3.9692375719974158</v>
      </c>
      <c r="I90" s="464">
        <f t="shared" si="84"/>
        <v>3.4971941567944218</v>
      </c>
      <c r="J90" s="464">
        <f t="shared" si="84"/>
        <v>3.0933526195802963</v>
      </c>
      <c r="K90" s="464">
        <f t="shared" si="84"/>
        <v>3.4885102885023334</v>
      </c>
      <c r="L90" s="464">
        <f t="shared" si="84"/>
        <v>2.447864979930507</v>
      </c>
      <c r="M90" s="466">
        <f>AVERAGE(B90:L90)</f>
        <v>3.40580520625014</v>
      </c>
      <c r="P90" s="125"/>
      <c r="Q90" s="125"/>
      <c r="R90" s="125"/>
      <c r="S90" s="125"/>
      <c r="T90" s="125"/>
      <c r="U90" s="125"/>
      <c r="V90" s="125"/>
      <c r="W90" s="125"/>
      <c r="X90" s="125"/>
      <c r="Y90" s="125"/>
    </row>
    <row r="91" spans="1:52" ht="30">
      <c r="A91" s="29" t="s">
        <v>242</v>
      </c>
      <c r="B91" s="465">
        <f>(B26-B22)/B49</f>
        <v>3.0383395227857046</v>
      </c>
      <c r="C91" s="465">
        <f t="shared" ref="C91:L91" si="85">(C26-C22)/C49</f>
        <v>2.4504283425782734</v>
      </c>
      <c r="D91" s="465">
        <f t="shared" si="85"/>
        <v>1.6214275814982879</v>
      </c>
      <c r="E91" s="465">
        <f t="shared" si="85"/>
        <v>1.9719040425426768</v>
      </c>
      <c r="F91" s="465">
        <f t="shared" si="85"/>
        <v>2.3430616910902002</v>
      </c>
      <c r="G91" s="465">
        <f t="shared" si="85"/>
        <v>3.1305624497159714</v>
      </c>
      <c r="H91" s="465">
        <f t="shared" si="85"/>
        <v>3.5071791217804495</v>
      </c>
      <c r="I91" s="465">
        <f t="shared" si="85"/>
        <v>2.867795719863607</v>
      </c>
      <c r="J91" s="465">
        <f t="shared" si="85"/>
        <v>2.6226432277041978</v>
      </c>
      <c r="K91" s="465">
        <f t="shared" si="85"/>
        <v>3.0222289987271957</v>
      </c>
      <c r="L91" s="465">
        <f t="shared" si="85"/>
        <v>2.0524758535514089</v>
      </c>
      <c r="M91" s="467">
        <f>AVERAGE(B91:L91)</f>
        <v>2.6025496865307254</v>
      </c>
    </row>
    <row r="92" spans="1:52" ht="30.75" thickBot="1">
      <c r="A92" s="34" t="s">
        <v>243</v>
      </c>
      <c r="B92" s="35">
        <f>B26-B49</f>
        <v>2171001</v>
      </c>
      <c r="C92" s="35">
        <f t="shared" ref="C92:L92" si="86">C26-C49</f>
        <v>2253375</v>
      </c>
      <c r="D92" s="35">
        <f t="shared" si="86"/>
        <v>2156329</v>
      </c>
      <c r="E92" s="35">
        <f t="shared" si="86"/>
        <v>2452203</v>
      </c>
      <c r="F92" s="35">
        <f t="shared" si="86"/>
        <v>2492240</v>
      </c>
      <c r="G92" s="35">
        <f t="shared" si="86"/>
        <v>2440595</v>
      </c>
      <c r="H92" s="35">
        <f t="shared" si="86"/>
        <v>2591990</v>
      </c>
      <c r="I92" s="35">
        <f t="shared" si="86"/>
        <v>2776348</v>
      </c>
      <c r="J92" s="35">
        <f t="shared" si="86"/>
        <v>2758394</v>
      </c>
      <c r="K92" s="35">
        <f t="shared" si="86"/>
        <v>2815401</v>
      </c>
      <c r="L92" s="35">
        <f t="shared" si="86"/>
        <v>2663504</v>
      </c>
      <c r="M92" s="36">
        <f>AVERAGE(B92:L92)</f>
        <v>2506489.0909090908</v>
      </c>
    </row>
    <row r="93" spans="1:52" ht="15.75" thickBot="1"/>
    <row r="94" spans="1:52" ht="15.75" thickBot="1">
      <c r="A94" s="690" t="s">
        <v>244</v>
      </c>
      <c r="B94" s="691"/>
      <c r="C94" s="691"/>
      <c r="D94" s="691"/>
      <c r="E94" s="691"/>
      <c r="F94" s="691"/>
      <c r="G94" s="691"/>
      <c r="H94" s="691"/>
      <c r="I94" s="691"/>
      <c r="J94" s="691"/>
      <c r="K94" s="691"/>
      <c r="L94" s="691"/>
      <c r="M94" s="692"/>
    </row>
    <row r="95" spans="1:52" ht="30">
      <c r="A95" s="29" t="s">
        <v>245</v>
      </c>
      <c r="B95" s="37"/>
      <c r="C95" s="469">
        <f>((AVERAGE(B9:C9))*360)/C74</f>
        <v>232.60591462660022</v>
      </c>
      <c r="D95" s="469">
        <f t="shared" ref="D95:L95" si="87">((AVERAGE(C9:D9))*360)/D74</f>
        <v>284.85040864914646</v>
      </c>
      <c r="E95" s="469">
        <f t="shared" si="87"/>
        <v>266.74071034411031</v>
      </c>
      <c r="F95" s="469">
        <f t="shared" si="87"/>
        <v>268.12589074561674</v>
      </c>
      <c r="G95" s="469">
        <f t="shared" si="87"/>
        <v>414.54832004267263</v>
      </c>
      <c r="H95" s="469">
        <f t="shared" si="87"/>
        <v>365.19097292193572</v>
      </c>
      <c r="I95" s="469">
        <f t="shared" si="87"/>
        <v>198.50269793056404</v>
      </c>
      <c r="J95" s="469">
        <f t="shared" si="87"/>
        <v>152.4184917526342</v>
      </c>
      <c r="K95" s="469">
        <f t="shared" si="87"/>
        <v>132.91600215309535</v>
      </c>
      <c r="L95" s="469">
        <f t="shared" si="87"/>
        <v>106.49658379272185</v>
      </c>
      <c r="M95" s="472">
        <f t="shared" ref="M95:M100" si="88">AVERAGE(C95:L95)</f>
        <v>242.23959929590973</v>
      </c>
    </row>
    <row r="96" spans="1:52" ht="45">
      <c r="A96" s="29" t="s">
        <v>246</v>
      </c>
      <c r="B96" s="37"/>
      <c r="C96" s="470">
        <f>(AVERAGE(B22:C22)*360)/C75</f>
        <v>180.09916424077377</v>
      </c>
      <c r="D96" s="470">
        <f t="shared" ref="D96:L96" si="89">(AVERAGE(C22:D22)*360)/D75</f>
        <v>318.92802450229709</v>
      </c>
      <c r="E96" s="470">
        <f t="shared" si="89"/>
        <v>340.75882261518723</v>
      </c>
      <c r="F96" s="470">
        <f t="shared" si="89"/>
        <v>252.0872024668686</v>
      </c>
      <c r="G96" s="470">
        <f t="shared" si="89"/>
        <v>145.48982470765077</v>
      </c>
      <c r="H96" s="470">
        <f t="shared" si="89"/>
        <v>60.856450044517018</v>
      </c>
      <c r="I96" s="470">
        <f t="shared" si="89"/>
        <v>90.845861101223505</v>
      </c>
      <c r="J96" s="470">
        <f t="shared" si="89"/>
        <v>74.810043006100955</v>
      </c>
      <c r="K96" s="470">
        <f t="shared" si="89"/>
        <v>65.847840415509182</v>
      </c>
      <c r="L96" s="470">
        <f t="shared" si="89"/>
        <v>64.887599005833778</v>
      </c>
      <c r="M96" s="472">
        <f t="shared" si="88"/>
        <v>159.4610832105962</v>
      </c>
    </row>
    <row r="97" spans="1:13" ht="60">
      <c r="A97" s="29" t="s">
        <v>247</v>
      </c>
      <c r="B97" s="37"/>
      <c r="C97" s="469">
        <f>(((AVERAGE(B40:C40)+AVERAGE(B33:C33)+AVERAGE(B41:C41))/C119)*360)</f>
        <v>89.591268044501831</v>
      </c>
      <c r="D97" s="469">
        <f t="shared" ref="D97:L97" si="90">(((AVERAGE(C40:D40)+AVERAGE(C33:D33)+AVERAGE(C41:D41))/D119)*360)</f>
        <v>134.0902575357498</v>
      </c>
      <c r="E97" s="469">
        <f t="shared" si="90"/>
        <v>167.11945600956537</v>
      </c>
      <c r="F97" s="469">
        <f t="shared" si="90"/>
        <v>173.31108201233292</v>
      </c>
      <c r="G97" s="469">
        <f t="shared" si="90"/>
        <v>267.66964433720739</v>
      </c>
      <c r="H97" s="469">
        <f t="shared" si="90"/>
        <v>116.92010607894127</v>
      </c>
      <c r="I97" s="469">
        <f t="shared" si="90"/>
        <v>128.78915362183844</v>
      </c>
      <c r="J97" s="469">
        <f t="shared" si="90"/>
        <v>126.65873096351622</v>
      </c>
      <c r="K97" s="469">
        <f t="shared" si="90"/>
        <v>136.48633913880249</v>
      </c>
      <c r="L97" s="469">
        <f t="shared" si="90"/>
        <v>135.12172579970806</v>
      </c>
      <c r="M97" s="472">
        <f t="shared" si="88"/>
        <v>147.5757763542164</v>
      </c>
    </row>
    <row r="98" spans="1:13" ht="30">
      <c r="A98" s="29" t="s">
        <v>248</v>
      </c>
      <c r="B98" s="37"/>
      <c r="C98" s="469">
        <f>C74/B31</f>
        <v>0.91038897317605039</v>
      </c>
      <c r="D98" s="469">
        <f t="shared" ref="D98:L98" si="91">D74/C31</f>
        <v>0.70812150312355548</v>
      </c>
      <c r="E98" s="469">
        <f t="shared" si="91"/>
        <v>0.681822443521507</v>
      </c>
      <c r="F98" s="469">
        <f t="shared" si="91"/>
        <v>0.65419228382955563</v>
      </c>
      <c r="G98" s="469">
        <f t="shared" si="91"/>
        <v>0.53888194127288713</v>
      </c>
      <c r="H98" s="469">
        <f t="shared" si="91"/>
        <v>0.59572828200288175</v>
      </c>
      <c r="I98" s="469">
        <f t="shared" si="91"/>
        <v>0.77473245445844785</v>
      </c>
      <c r="J98" s="469">
        <f t="shared" si="91"/>
        <v>0.94721647060360425</v>
      </c>
      <c r="K98" s="469">
        <f t="shared" si="91"/>
        <v>0.97028415002278912</v>
      </c>
      <c r="L98" s="469">
        <f t="shared" si="91"/>
        <v>1.094840577564455</v>
      </c>
      <c r="M98" s="472">
        <f t="shared" si="88"/>
        <v>0.78762090795757334</v>
      </c>
    </row>
    <row r="99" spans="1:13" ht="30">
      <c r="A99" s="29" t="s">
        <v>249</v>
      </c>
      <c r="B99" s="37"/>
      <c r="C99" s="469">
        <f>C74/B27</f>
        <v>66.04571140262361</v>
      </c>
      <c r="D99" s="469">
        <f t="shared" ref="D99:L99" si="92">D74/C27</f>
        <v>48.945022022492005</v>
      </c>
      <c r="E99" s="469">
        <f t="shared" si="92"/>
        <v>60.56966262519768</v>
      </c>
      <c r="F99" s="469">
        <f t="shared" si="92"/>
        <v>58.871858398038412</v>
      </c>
      <c r="G99" s="469">
        <f t="shared" si="92"/>
        <v>27.604595493577165</v>
      </c>
      <c r="H99" s="469">
        <f t="shared" si="92"/>
        <v>10.195790086063607</v>
      </c>
      <c r="I99" s="469">
        <f t="shared" si="92"/>
        <v>12.056101831615106</v>
      </c>
      <c r="J99" s="469">
        <f t="shared" si="92"/>
        <v>15.949846018477782</v>
      </c>
      <c r="K99" s="469">
        <f t="shared" si="92"/>
        <v>16.483831236074938</v>
      </c>
      <c r="L99" s="469">
        <f t="shared" si="92"/>
        <v>15.688288844728502</v>
      </c>
      <c r="M99" s="472">
        <f t="shared" si="88"/>
        <v>33.241070795888881</v>
      </c>
    </row>
    <row r="100" spans="1:13" ht="15.75" thickBot="1">
      <c r="A100" s="34" t="s">
        <v>250</v>
      </c>
      <c r="B100" s="26"/>
      <c r="C100" s="474">
        <f>(C96+C95)-C97</f>
        <v>323.11381082287221</v>
      </c>
      <c r="D100" s="474">
        <f t="shared" ref="D100:L100" si="93">(D96+D95)-D97</f>
        <v>469.68817561569375</v>
      </c>
      <c r="E100" s="474">
        <f t="shared" si="93"/>
        <v>440.38007694973214</v>
      </c>
      <c r="F100" s="474">
        <f t="shared" si="93"/>
        <v>346.9020112001524</v>
      </c>
      <c r="G100" s="474">
        <f t="shared" si="93"/>
        <v>292.36850041311607</v>
      </c>
      <c r="H100" s="474">
        <f t="shared" si="93"/>
        <v>309.12731688751148</v>
      </c>
      <c r="I100" s="474">
        <f t="shared" si="93"/>
        <v>160.55940540994911</v>
      </c>
      <c r="J100" s="474">
        <f t="shared" si="93"/>
        <v>100.56980379521893</v>
      </c>
      <c r="K100" s="474">
        <f t="shared" si="93"/>
        <v>62.277503429802039</v>
      </c>
      <c r="L100" s="474">
        <f t="shared" si="93"/>
        <v>36.262456998847568</v>
      </c>
      <c r="M100" s="473">
        <f t="shared" si="88"/>
        <v>254.12490615228953</v>
      </c>
    </row>
    <row r="101" spans="1:13" ht="15.75" thickBot="1"/>
    <row r="102" spans="1:13" ht="15.75" thickBot="1">
      <c r="A102" s="693" t="s">
        <v>251</v>
      </c>
      <c r="B102" s="694"/>
      <c r="C102" s="694"/>
      <c r="D102" s="694"/>
      <c r="E102" s="694"/>
      <c r="F102" s="694"/>
      <c r="G102" s="694"/>
      <c r="H102" s="694"/>
      <c r="I102" s="694"/>
      <c r="J102" s="694"/>
      <c r="K102" s="694"/>
      <c r="L102" s="694"/>
      <c r="M102" s="695"/>
    </row>
    <row r="103" spans="1:13" ht="30">
      <c r="A103" s="43" t="s">
        <v>252</v>
      </c>
      <c r="B103" s="96">
        <f>B59/B69</f>
        <v>0.51786549364985368</v>
      </c>
      <c r="C103" s="96">
        <f t="shared" ref="C103:L103" si="94">C59/C69</f>
        <v>0.51828492990568142</v>
      </c>
      <c r="D103" s="96">
        <f t="shared" si="94"/>
        <v>0.53600037187783267</v>
      </c>
      <c r="E103" s="96">
        <f t="shared" si="94"/>
        <v>0.4142320143054683</v>
      </c>
      <c r="F103" s="96">
        <f t="shared" si="94"/>
        <v>0.42407139084864653</v>
      </c>
      <c r="G103" s="96">
        <f t="shared" si="94"/>
        <v>0.38242520439147987</v>
      </c>
      <c r="H103" s="96">
        <f t="shared" si="94"/>
        <v>0.32755753928642728</v>
      </c>
      <c r="I103" s="96">
        <f t="shared" si="94"/>
        <v>0.3679182032621271</v>
      </c>
      <c r="J103" s="96">
        <f t="shared" si="94"/>
        <v>0.43728765186687152</v>
      </c>
      <c r="K103" s="96">
        <f t="shared" si="94"/>
        <v>0.41466873328289411</v>
      </c>
      <c r="L103" s="96">
        <f t="shared" si="94"/>
        <v>0.6174088674778373</v>
      </c>
      <c r="M103" s="475">
        <f>AVERAGE(B103:L103)</f>
        <v>0.45070185455955636</v>
      </c>
    </row>
    <row r="104" spans="1:13" ht="30">
      <c r="A104" s="43" t="s">
        <v>253</v>
      </c>
      <c r="B104" s="96">
        <f>B59/B31</f>
        <v>0.34118009521686682</v>
      </c>
      <c r="C104" s="96">
        <f t="shared" ref="C104:L104" si="95">C59/C31</f>
        <v>0.34136209857386796</v>
      </c>
      <c r="D104" s="96">
        <f t="shared" si="95"/>
        <v>0.34895849095566756</v>
      </c>
      <c r="E104" s="96">
        <f t="shared" si="95"/>
        <v>0.29290244465926502</v>
      </c>
      <c r="F104" s="96">
        <f t="shared" si="95"/>
        <v>0.29778801370058405</v>
      </c>
      <c r="G104" s="96">
        <f t="shared" si="95"/>
        <v>0.27663355903570708</v>
      </c>
      <c r="H104" s="96">
        <f t="shared" si="95"/>
        <v>0.2467369809541303</v>
      </c>
      <c r="I104" s="96">
        <f t="shared" si="95"/>
        <v>0.2689621370523021</v>
      </c>
      <c r="J104" s="96">
        <f t="shared" si="95"/>
        <v>0.30424504885913761</v>
      </c>
      <c r="K104" s="96">
        <f t="shared" si="95"/>
        <v>0.29312073104253161</v>
      </c>
      <c r="L104" s="96">
        <f t="shared" si="95"/>
        <v>0.38172714388577283</v>
      </c>
      <c r="M104" s="475">
        <f>AVERAGE(B104:L104)</f>
        <v>0.30851061308507566</v>
      </c>
    </row>
    <row r="105" spans="1:13" ht="60">
      <c r="A105" s="43" t="s">
        <v>254</v>
      </c>
      <c r="B105" s="96">
        <f>B82/B84</f>
        <v>6.3294610738919506</v>
      </c>
      <c r="C105" s="96">
        <f t="shared" ref="C105:L105" si="96">C82/C84</f>
        <v>5.2876402461093015</v>
      </c>
      <c r="D105" s="96">
        <f t="shared" si="96"/>
        <v>4.6542797006548176</v>
      </c>
      <c r="E105" s="96">
        <f t="shared" si="96"/>
        <v>4.1005642361111114</v>
      </c>
      <c r="F105" s="96">
        <f t="shared" si="96"/>
        <v>2.3375673327541269</v>
      </c>
      <c r="G105" s="96">
        <f t="shared" si="96"/>
        <v>2.2033833012310526</v>
      </c>
      <c r="H105" s="96">
        <f t="shared" si="96"/>
        <v>1.7069583467872134</v>
      </c>
      <c r="I105" s="96">
        <f t="shared" si="96"/>
        <v>3.976865855917032</v>
      </c>
      <c r="J105" s="96">
        <f t="shared" si="96"/>
        <v>1.4601232472983834</v>
      </c>
      <c r="K105" s="96">
        <f t="shared" si="96"/>
        <v>1.1395816572807724</v>
      </c>
      <c r="L105" s="96">
        <f t="shared" si="96"/>
        <v>3.7520712510356256</v>
      </c>
      <c r="M105" s="65">
        <f>AVERAGE(B105:L105)</f>
        <v>3.358954204461035</v>
      </c>
    </row>
    <row r="106" spans="1:13" ht="30.75" thickBot="1">
      <c r="A106" s="45" t="s">
        <v>255</v>
      </c>
      <c r="B106" s="99">
        <f>B76/(B78+B77)</f>
        <v>0.61181991678592196</v>
      </c>
      <c r="C106" s="99">
        <f t="shared" ref="C106:L106" si="97">C76/(C78+C77)</f>
        <v>0.71469033367340384</v>
      </c>
      <c r="D106" s="99">
        <f t="shared" si="97"/>
        <v>0.74301389035082588</v>
      </c>
      <c r="E106" s="99">
        <f t="shared" si="97"/>
        <v>0.7535394252240234</v>
      </c>
      <c r="F106" s="99">
        <f t="shared" si="97"/>
        <v>0.52169474909743641</v>
      </c>
      <c r="G106" s="99">
        <f t="shared" si="97"/>
        <v>0.40422523396963489</v>
      </c>
      <c r="H106" s="99">
        <f t="shared" si="97"/>
        <v>0.23261731724397414</v>
      </c>
      <c r="I106" s="99">
        <f t="shared" si="97"/>
        <v>0.54295386168209792</v>
      </c>
      <c r="J106" s="99">
        <f t="shared" si="97"/>
        <v>0.49969722323973836</v>
      </c>
      <c r="K106" s="99">
        <f t="shared" si="97"/>
        <v>0.66704087353916797</v>
      </c>
      <c r="L106" s="99">
        <f t="shared" si="97"/>
        <v>0.73576119918680372</v>
      </c>
      <c r="M106" s="66">
        <f>AVERAGE(B106:L106)</f>
        <v>0.58427763854482084</v>
      </c>
    </row>
    <row r="107" spans="1:13" ht="15.75" thickBot="1"/>
    <row r="108" spans="1:13" ht="15.75" thickBot="1">
      <c r="A108" s="690" t="s">
        <v>256</v>
      </c>
      <c r="B108" s="691"/>
      <c r="C108" s="691"/>
      <c r="D108" s="691"/>
      <c r="E108" s="691"/>
      <c r="F108" s="691"/>
      <c r="G108" s="691"/>
      <c r="H108" s="691"/>
      <c r="I108" s="691"/>
      <c r="J108" s="691"/>
      <c r="K108" s="691"/>
      <c r="L108" s="691"/>
      <c r="M108" s="692"/>
    </row>
    <row r="109" spans="1:13" ht="45">
      <c r="A109" s="43" t="s">
        <v>257</v>
      </c>
      <c r="B109" s="38"/>
      <c r="C109" s="468">
        <f>C85/B69</f>
        <v>-5.6043432868750267E-3</v>
      </c>
      <c r="D109" s="468">
        <f t="shared" ref="D109:L109" si="98">D85/C69</f>
        <v>6.9851216858978927E-3</v>
      </c>
      <c r="E109" s="468">
        <f t="shared" si="98"/>
        <v>-3.0743723764041692E-3</v>
      </c>
      <c r="F109" s="468">
        <f t="shared" si="98"/>
        <v>-1.9423566693626562E-2</v>
      </c>
      <c r="G109" s="468">
        <f t="shared" si="98"/>
        <v>-1.8094167670995438E-2</v>
      </c>
      <c r="H109" s="468">
        <f t="shared" si="98"/>
        <v>-2.4364001441052236E-2</v>
      </c>
      <c r="I109" s="468">
        <f t="shared" si="98"/>
        <v>3.5928542908479022E-2</v>
      </c>
      <c r="J109" s="468">
        <f t="shared" si="98"/>
        <v>5.1147780551665349E-3</v>
      </c>
      <c r="K109" s="468">
        <f t="shared" si="98"/>
        <v>1.3818599356857696E-3</v>
      </c>
      <c r="L109" s="468">
        <f t="shared" si="98"/>
        <v>2.6419945298961755E-2</v>
      </c>
      <c r="M109" s="471">
        <f>AVERAGE(B109:L109)</f>
        <v>5.2697964152375459E-4</v>
      </c>
    </row>
    <row r="110" spans="1:13" ht="45">
      <c r="A110" s="43" t="s">
        <v>258</v>
      </c>
      <c r="B110" s="38"/>
      <c r="C110" s="468">
        <f>B31/C79</f>
        <v>-10.272850677116637</v>
      </c>
      <c r="D110" s="468">
        <f t="shared" ref="D110:L110" si="99">C31/D79</f>
        <v>-11.724606241727567</v>
      </c>
      <c r="E110" s="468">
        <f t="shared" si="99"/>
        <v>-13.219268829350371</v>
      </c>
      <c r="F110" s="468">
        <f t="shared" si="99"/>
        <v>-7.0937109286129898</v>
      </c>
      <c r="G110" s="468">
        <f t="shared" si="99"/>
        <v>-6.169326669080279</v>
      </c>
      <c r="H110" s="468">
        <f t="shared" si="99"/>
        <v>-4.3479830106283277</v>
      </c>
      <c r="I110" s="468">
        <f t="shared" si="99"/>
        <v>-6.325938056344536</v>
      </c>
      <c r="J110" s="468">
        <f t="shared" si="99"/>
        <v>-5.5839568696159629</v>
      </c>
      <c r="K110" s="468">
        <f t="shared" si="99"/>
        <v>-8.1488153138999539</v>
      </c>
      <c r="L110" s="468">
        <f t="shared" si="99"/>
        <v>-9.9674573690834496</v>
      </c>
      <c r="M110" s="471">
        <f>AVERAGE(C110:L110)</f>
        <v>-8.2853913965460073</v>
      </c>
    </row>
    <row r="111" spans="1:13">
      <c r="A111" s="47" t="s">
        <v>259</v>
      </c>
      <c r="B111" s="96">
        <f>B85/B74</f>
        <v>4.4591097114902722E-3</v>
      </c>
      <c r="C111" s="96">
        <f t="shared" ref="C111:L111" si="100">C85/C74</f>
        <v>-4.0556872056017219E-3</v>
      </c>
      <c r="D111" s="96">
        <f t="shared" si="100"/>
        <v>6.4970006815387059E-3</v>
      </c>
      <c r="E111" s="96">
        <f t="shared" si="100"/>
        <v>-2.9355795637361496E-3</v>
      </c>
      <c r="F111" s="96">
        <f t="shared" si="100"/>
        <v>-2.0994372548483676E-2</v>
      </c>
      <c r="G111" s="96">
        <f t="shared" si="100"/>
        <v>-2.3578339609361964E-2</v>
      </c>
      <c r="H111" s="96">
        <f t="shared" si="100"/>
        <v>-2.9584126761296868E-2</v>
      </c>
      <c r="I111" s="96">
        <f t="shared" si="100"/>
        <v>3.4932888825572647E-2</v>
      </c>
      <c r="J111" s="96">
        <f t="shared" si="100"/>
        <v>3.947457138829125E-3</v>
      </c>
      <c r="K111" s="96">
        <f t="shared" si="100"/>
        <v>9.9088075592493872E-4</v>
      </c>
      <c r="L111" s="96">
        <f t="shared" si="100"/>
        <v>1.7057927886059667E-2</v>
      </c>
      <c r="M111" s="153">
        <f>AVERAGE(B111:L111)</f>
        <v>-1.2057127899150013E-3</v>
      </c>
    </row>
    <row r="112" spans="1:13" ht="30.75" thickBot="1">
      <c r="A112" s="48" t="s">
        <v>260</v>
      </c>
      <c r="B112" s="99">
        <f>B79/B74</f>
        <v>-0.15889727497812053</v>
      </c>
      <c r="C112" s="99">
        <f t="shared" ref="C112:L112" si="101">C79/C74</f>
        <v>-0.10692568367626006</v>
      </c>
      <c r="D112" s="99">
        <f t="shared" si="101"/>
        <v>-0.12044643526021806</v>
      </c>
      <c r="E112" s="99">
        <f t="shared" si="101"/>
        <v>-0.11094845851611805</v>
      </c>
      <c r="F112" s="99">
        <f t="shared" si="101"/>
        <v>-0.21548701035293158</v>
      </c>
      <c r="G112" s="99">
        <f t="shared" si="101"/>
        <v>-0.30079360797953891</v>
      </c>
      <c r="H112" s="99">
        <f t="shared" si="101"/>
        <v>-0.38606812197016183</v>
      </c>
      <c r="I112" s="99">
        <f t="shared" si="101"/>
        <v>-0.20404375891901147</v>
      </c>
      <c r="J112" s="99">
        <f t="shared" si="101"/>
        <v>-0.18906393981558101</v>
      </c>
      <c r="K112" s="99">
        <f t="shared" si="101"/>
        <v>-0.12647555327744994</v>
      </c>
      <c r="L112" s="99">
        <f t="shared" si="101"/>
        <v>-9.1635705549721377E-2</v>
      </c>
      <c r="M112" s="154">
        <f>AVERAGE(B112:L112)</f>
        <v>-0.18279868639046482</v>
      </c>
    </row>
    <row r="114" spans="1:13" ht="15.75" thickBot="1"/>
    <row r="115" spans="1:13" ht="15.75" thickBot="1">
      <c r="A115" s="682" t="s">
        <v>264</v>
      </c>
      <c r="B115" s="683"/>
      <c r="C115" s="683"/>
      <c r="D115" s="683"/>
      <c r="E115" s="683"/>
      <c r="F115" s="683"/>
      <c r="G115" s="683"/>
      <c r="H115" s="683"/>
      <c r="I115" s="683"/>
      <c r="J115" s="683"/>
      <c r="K115" s="683"/>
      <c r="L115" s="683"/>
      <c r="M115" s="684"/>
    </row>
    <row r="116" spans="1:13" ht="15.75" thickBot="1">
      <c r="A116" s="70" t="s">
        <v>265</v>
      </c>
      <c r="B116" s="71">
        <v>9.2299999999999993E-2</v>
      </c>
      <c r="C116" s="72">
        <v>8.7499999999999994E-2</v>
      </c>
      <c r="D116" s="72">
        <v>7.6499999999999999E-2</v>
      </c>
      <c r="E116" s="72">
        <v>6.9900000000000004E-2</v>
      </c>
      <c r="F116" s="72">
        <v>6.4899999999999999E-2</v>
      </c>
      <c r="G116" s="73">
        <v>5.4975226515432629E-2</v>
      </c>
      <c r="H116" s="73">
        <v>4.8525780949691733E-2</v>
      </c>
      <c r="I116" s="74">
        <v>4.48E-2</v>
      </c>
      <c r="J116" s="74">
        <v>5.6899999999999999E-2</v>
      </c>
      <c r="K116" s="74">
        <v>7.6700000000000004E-2</v>
      </c>
      <c r="L116" s="75">
        <v>0.02</v>
      </c>
      <c r="M116" s="103">
        <f>AVERAGE(B116:L116)</f>
        <v>6.3000091587738574E-2</v>
      </c>
    </row>
    <row r="117" spans="1:13" ht="15.75" thickBot="1"/>
    <row r="118" spans="1:13" ht="15.75" thickBot="1">
      <c r="A118" s="682" t="s">
        <v>272</v>
      </c>
      <c r="B118" s="702"/>
      <c r="C118" s="702"/>
      <c r="D118" s="702"/>
      <c r="E118" s="702"/>
      <c r="F118" s="702"/>
      <c r="G118" s="702"/>
      <c r="H118" s="702"/>
      <c r="I118" s="702"/>
      <c r="J118" s="702"/>
      <c r="K118" s="702"/>
      <c r="L118" s="702"/>
      <c r="M118" s="684"/>
    </row>
    <row r="119" spans="1:13" ht="75.75" thickBot="1">
      <c r="A119" s="70" t="s">
        <v>271</v>
      </c>
      <c r="B119" s="104"/>
      <c r="C119" s="101">
        <f>C75+(C22-B22)</f>
        <v>2204134</v>
      </c>
      <c r="D119" s="101">
        <f t="shared" ref="D119:K119" si="102">D75+(D22-C22)</f>
        <v>1749660</v>
      </c>
      <c r="E119" s="101">
        <f t="shared" si="102"/>
        <v>1542233</v>
      </c>
      <c r="F119" s="101">
        <f t="shared" si="102"/>
        <v>1334153</v>
      </c>
      <c r="G119" s="101">
        <f t="shared" si="102"/>
        <v>814395</v>
      </c>
      <c r="H119" s="101">
        <f t="shared" si="102"/>
        <v>2097306</v>
      </c>
      <c r="I119" s="101">
        <f t="shared" si="102"/>
        <v>2482082</v>
      </c>
      <c r="J119" s="101">
        <f t="shared" si="102"/>
        <v>3096554</v>
      </c>
      <c r="K119" s="101">
        <f t="shared" si="102"/>
        <v>3044830</v>
      </c>
      <c r="L119" s="102">
        <f>L75+(L22-K22)</f>
        <v>3680937</v>
      </c>
      <c r="M119" s="102">
        <f>AVERAGE(C119:L119)</f>
        <v>2204628.4</v>
      </c>
    </row>
    <row r="120" spans="1:13" ht="15.75" thickBot="1"/>
    <row r="121" spans="1:13" ht="15.75" thickBot="1">
      <c r="A121" s="682" t="s">
        <v>289</v>
      </c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3"/>
      <c r="M121" s="684"/>
    </row>
    <row r="122" spans="1:13">
      <c r="A122" s="106" t="s">
        <v>290</v>
      </c>
      <c r="B122" s="67"/>
      <c r="C122" s="108">
        <f>IF(C85&lt;0,0,B85-(C64-B64+C68-B68))</f>
        <v>0</v>
      </c>
      <c r="D122" s="108">
        <f t="shared" ref="D122:L122" si="103">IF(D85&lt;0,0,C85-(D64-C64+D68-C68))</f>
        <v>212316</v>
      </c>
      <c r="E122" s="108">
        <f t="shared" si="103"/>
        <v>0</v>
      </c>
      <c r="F122" s="108">
        <f t="shared" si="103"/>
        <v>0</v>
      </c>
      <c r="G122" s="108">
        <f t="shared" si="103"/>
        <v>0</v>
      </c>
      <c r="H122" s="108">
        <f t="shared" si="103"/>
        <v>0</v>
      </c>
      <c r="I122" s="108">
        <f t="shared" si="103"/>
        <v>0</v>
      </c>
      <c r="J122" s="108">
        <f t="shared" si="103"/>
        <v>0</v>
      </c>
      <c r="K122" s="108">
        <f t="shared" si="103"/>
        <v>1</v>
      </c>
      <c r="L122" s="108">
        <f t="shared" si="103"/>
        <v>11370</v>
      </c>
      <c r="M122" s="109"/>
    </row>
    <row r="123" spans="1:13" ht="30.75" thickBot="1">
      <c r="A123" s="34" t="s">
        <v>291</v>
      </c>
      <c r="B123" s="69"/>
      <c r="C123" s="107">
        <f>IF(C122&lt;0,0,IF(B85&lt;0,0,(C122/B85)))</f>
        <v>0</v>
      </c>
      <c r="D123" s="107">
        <f>IF(D122&lt;0,0,IF(C85&lt;0,0,(D122/C85)))</f>
        <v>0</v>
      </c>
      <c r="E123" s="107">
        <f t="shared" ref="E123:L123" si="104">IF(E122&lt;0,0,IF(D85&lt;0,0,(E122/D85)))</f>
        <v>0</v>
      </c>
      <c r="F123" s="107">
        <f t="shared" si="104"/>
        <v>0</v>
      </c>
      <c r="G123" s="107">
        <f t="shared" si="104"/>
        <v>0</v>
      </c>
      <c r="H123" s="107">
        <f t="shared" si="104"/>
        <v>0</v>
      </c>
      <c r="I123" s="107">
        <f t="shared" si="104"/>
        <v>0</v>
      </c>
      <c r="J123" s="107">
        <f t="shared" si="104"/>
        <v>0</v>
      </c>
      <c r="K123" s="107">
        <f t="shared" si="104"/>
        <v>6.4699792960662531E-5</v>
      </c>
      <c r="L123" s="107">
        <f t="shared" si="104"/>
        <v>2.7305475504322767</v>
      </c>
      <c r="M123" s="110">
        <f>AVERAGE(C123:L123)</f>
        <v>0.27306122502252372</v>
      </c>
    </row>
    <row r="124" spans="1:13" ht="15.75" thickBot="1"/>
    <row r="125" spans="1:13" ht="15.75" thickBot="1">
      <c r="A125" s="704" t="s">
        <v>288</v>
      </c>
      <c r="B125" s="705"/>
      <c r="C125" s="705"/>
      <c r="D125" s="705"/>
      <c r="E125" s="705"/>
      <c r="F125" s="705"/>
      <c r="G125" s="705"/>
      <c r="H125" s="705"/>
      <c r="I125" s="705"/>
      <c r="J125" s="705"/>
      <c r="K125" s="705"/>
      <c r="L125" s="705"/>
      <c r="M125" s="706"/>
    </row>
    <row r="126" spans="1:13" ht="60">
      <c r="A126" s="111" t="s">
        <v>274</v>
      </c>
      <c r="B126" s="56">
        <f>B7/B74</f>
        <v>3.4911304016097301E-2</v>
      </c>
      <c r="C126" s="56">
        <f t="shared" ref="C126:L126" si="105">C7/C74</f>
        <v>2.8483391468160296E-2</v>
      </c>
      <c r="D126" s="56">
        <f t="shared" si="105"/>
        <v>3.8666358482050682E-2</v>
      </c>
      <c r="E126" s="56">
        <f t="shared" si="105"/>
        <v>2.7994619699714493E-2</v>
      </c>
      <c r="F126" s="56">
        <f t="shared" si="105"/>
        <v>3.0106930689632883E-2</v>
      </c>
      <c r="G126" s="56">
        <f t="shared" si="105"/>
        <v>3.4641258035778659E-2</v>
      </c>
      <c r="H126" s="56">
        <f t="shared" si="105"/>
        <v>7.3864992335542473E-2</v>
      </c>
      <c r="I126" s="56">
        <f t="shared" si="105"/>
        <v>6.4011682540210724E-2</v>
      </c>
      <c r="J126" s="56">
        <f t="shared" si="105"/>
        <v>2.9133439170952274E-2</v>
      </c>
      <c r="K126" s="56">
        <f t="shared" si="105"/>
        <v>5.6615128493247305E-2</v>
      </c>
      <c r="L126" s="56">
        <f t="shared" si="105"/>
        <v>1.4579112821711039E-2</v>
      </c>
      <c r="M126" s="64">
        <f>AVERAGE(B126:L126)</f>
        <v>3.9364383432099831E-2</v>
      </c>
    </row>
    <row r="127" spans="1:13" ht="45">
      <c r="A127" s="112" t="s">
        <v>1191</v>
      </c>
      <c r="B127" s="59">
        <f>B75/B74</f>
        <v>0.74955820311623422</v>
      </c>
      <c r="C127" s="59">
        <f t="shared" ref="C127:L127" si="106">C75/C74</f>
        <v>0.73215505268802916</v>
      </c>
      <c r="D127" s="59">
        <f t="shared" si="106"/>
        <v>0.65175793133817295</v>
      </c>
      <c r="E127" s="59">
        <f t="shared" si="106"/>
        <v>0.66078129235996486</v>
      </c>
      <c r="F127" s="59">
        <f t="shared" si="106"/>
        <v>0.76496506867174185</v>
      </c>
      <c r="G127" s="59">
        <f t="shared" si="106"/>
        <v>0.79591554813198873</v>
      </c>
      <c r="H127" s="59">
        <f t="shared" si="106"/>
        <v>0.88297086600445152</v>
      </c>
      <c r="I127" s="59">
        <f t="shared" si="106"/>
        <v>0.75760358185074539</v>
      </c>
      <c r="J127" s="59">
        <f t="shared" si="106"/>
        <v>0.81116489827942362</v>
      </c>
      <c r="K127" s="59">
        <f t="shared" si="106"/>
        <v>0.74662246253380871</v>
      </c>
      <c r="L127" s="59">
        <f t="shared" si="106"/>
        <v>0.74484444980789988</v>
      </c>
      <c r="M127" s="65">
        <f>AVERAGE(B127:L127)</f>
        <v>0.75439448679840559</v>
      </c>
    </row>
    <row r="128" spans="1:13" ht="90">
      <c r="A128" s="112" t="s">
        <v>1188</v>
      </c>
      <c r="B128" s="59">
        <f>B22/B74</f>
        <v>0.38115196316769767</v>
      </c>
      <c r="C128" s="59">
        <f t="shared" ref="C128:L128" si="107">C22/C74</f>
        <v>0.42115091678851296</v>
      </c>
      <c r="D128" s="59">
        <f t="shared" si="107"/>
        <v>0.65113897359905426</v>
      </c>
      <c r="E128" s="59">
        <f t="shared" si="107"/>
        <v>0.63063133237279334</v>
      </c>
      <c r="F128" s="59">
        <f t="shared" si="107"/>
        <v>0.44258858431263831</v>
      </c>
      <c r="G128" s="59">
        <f t="shared" si="107"/>
        <v>0.12899747059828895</v>
      </c>
      <c r="H128" s="59">
        <f t="shared" si="107"/>
        <v>0.18265772140319575</v>
      </c>
      <c r="I128" s="59">
        <f t="shared" si="107"/>
        <v>0.2425510114596624</v>
      </c>
      <c r="J128" s="59">
        <f t="shared" si="107"/>
        <v>0.15841163886896772</v>
      </c>
      <c r="K128" s="59">
        <f t="shared" si="107"/>
        <v>0.12553345507555108</v>
      </c>
      <c r="L128" s="59">
        <f t="shared" si="107"/>
        <v>0.15563171376950208</v>
      </c>
      <c r="M128" s="65">
        <f>AVERAGE(B128:L128)</f>
        <v>0.32004043467416948</v>
      </c>
    </row>
    <row r="129" spans="1:13" ht="45">
      <c r="A129" s="112" t="s">
        <v>1158</v>
      </c>
      <c r="B129" s="59">
        <f>(B4+B5)/B74</f>
        <v>1.7416147418971181E-2</v>
      </c>
      <c r="C129" s="59">
        <f t="shared" ref="C129:L129" si="108">(C4+C5)/C74</f>
        <v>1.2875221729744099E-2</v>
      </c>
      <c r="D129" s="59">
        <f t="shared" si="108"/>
        <v>3.8666358482050682E-2</v>
      </c>
      <c r="E129" s="59">
        <f t="shared" si="108"/>
        <v>2.7994619699714493E-2</v>
      </c>
      <c r="F129" s="59">
        <f t="shared" si="108"/>
        <v>1.8959188286432119E-2</v>
      </c>
      <c r="G129" s="59">
        <f t="shared" si="108"/>
        <v>2.0835171439187727E-2</v>
      </c>
      <c r="H129" s="59">
        <f t="shared" si="108"/>
        <v>6.2125805786948457E-2</v>
      </c>
      <c r="I129" s="59">
        <f t="shared" si="108"/>
        <v>2.822853050739535E-2</v>
      </c>
      <c r="J129" s="59">
        <f t="shared" si="108"/>
        <v>2.292773824191047E-2</v>
      </c>
      <c r="K129" s="59">
        <f t="shared" si="108"/>
        <v>1.9185583589263269E-2</v>
      </c>
      <c r="L129" s="59">
        <f t="shared" si="108"/>
        <v>1.4579112821711039E-2</v>
      </c>
      <c r="M129" s="65">
        <f>AVERAGE(B129:L129)</f>
        <v>2.5799407091211715E-2</v>
      </c>
    </row>
    <row r="130" spans="1:13" ht="105">
      <c r="A130" s="112" t="s">
        <v>436</v>
      </c>
      <c r="B130" s="59"/>
      <c r="C130" s="59">
        <f t="shared" ref="C130:L130" si="109">C33/C119</f>
        <v>0.19626529058578107</v>
      </c>
      <c r="D130" s="59">
        <f t="shared" si="109"/>
        <v>0.21918487020335378</v>
      </c>
      <c r="E130" s="59">
        <f t="shared" si="109"/>
        <v>0.32549361866851506</v>
      </c>
      <c r="F130" s="59">
        <f t="shared" si="109"/>
        <v>0.34000298316609862</v>
      </c>
      <c r="G130" s="59">
        <f t="shared" si="109"/>
        <v>0.45213195071187812</v>
      </c>
      <c r="H130" s="59">
        <f t="shared" si="109"/>
        <v>0.26973937041137536</v>
      </c>
      <c r="I130" s="59">
        <f t="shared" si="109"/>
        <v>0.34454945485282112</v>
      </c>
      <c r="J130" s="59">
        <f t="shared" si="109"/>
        <v>0.33336605788240736</v>
      </c>
      <c r="K130" s="59">
        <f t="shared" si="109"/>
        <v>0.34217608208011613</v>
      </c>
      <c r="L130" s="59">
        <f t="shared" si="109"/>
        <v>0.39013598983085013</v>
      </c>
      <c r="M130" s="65">
        <f>AVERAGE(C130:L130)</f>
        <v>0.32130456683931968</v>
      </c>
    </row>
    <row r="131" spans="1:13" ht="60">
      <c r="A131" s="112" t="s">
        <v>275</v>
      </c>
      <c r="B131" s="59">
        <f>B9/B74</f>
        <v>0.75866436153103889</v>
      </c>
      <c r="C131" s="59">
        <f t="shared" ref="C131:L131" si="110">C9/C74</f>
        <v>0.67241368773423904</v>
      </c>
      <c r="D131" s="59">
        <f t="shared" si="110"/>
        <v>0.77835328920080904</v>
      </c>
      <c r="E131" s="59">
        <f t="shared" si="110"/>
        <v>0.74040747376102745</v>
      </c>
      <c r="F131" s="59">
        <f t="shared" si="110"/>
        <v>0.75140946597129399</v>
      </c>
      <c r="G131" s="59">
        <f t="shared" si="110"/>
        <v>1.4298495618543836</v>
      </c>
      <c r="H131" s="59">
        <f t="shared" si="110"/>
        <v>0.74453015856483318</v>
      </c>
      <c r="I131" s="59">
        <f t="shared" si="110"/>
        <v>0.53291017747381364</v>
      </c>
      <c r="J131" s="59">
        <f t="shared" si="110"/>
        <v>0.45410774596519615</v>
      </c>
      <c r="K131" s="59">
        <f t="shared" si="110"/>
        <v>0.31531615140391434</v>
      </c>
      <c r="L131" s="59">
        <f t="shared" si="110"/>
        <v>0.30812773183179404</v>
      </c>
      <c r="M131" s="65">
        <f t="shared" ref="M131:M143" si="111">AVERAGE(B131:L131)</f>
        <v>0.68055361866294029</v>
      </c>
    </row>
    <row r="132" spans="1:13" ht="75">
      <c r="A132" s="113" t="s">
        <v>276</v>
      </c>
      <c r="B132" s="59">
        <f>B19/B74</f>
        <v>0.88002666676640207</v>
      </c>
      <c r="C132" s="59">
        <f t="shared" ref="C132:L132" si="112">C19/C74</f>
        <v>0.69712137115687545</v>
      </c>
      <c r="D132" s="59">
        <f t="shared" si="112"/>
        <v>0.80145799949204355</v>
      </c>
      <c r="E132" s="59">
        <f t="shared" si="112"/>
        <v>0.82385130110230009</v>
      </c>
      <c r="F132" s="59">
        <f t="shared" si="112"/>
        <v>1.0415462194207166</v>
      </c>
      <c r="G132" s="59">
        <f t="shared" si="112"/>
        <v>1.5685597938565334</v>
      </c>
      <c r="H132" s="59">
        <f t="shared" si="112"/>
        <v>1.2959911604011329</v>
      </c>
      <c r="I132" s="59">
        <f t="shared" si="112"/>
        <v>1.0106981343776353</v>
      </c>
      <c r="J132" s="59">
        <f t="shared" si="112"/>
        <v>0.83727568247897044</v>
      </c>
      <c r="K132" s="59">
        <f t="shared" si="112"/>
        <v>0.7484704884585236</v>
      </c>
      <c r="L132" s="59">
        <f t="shared" si="112"/>
        <v>0.78432276247623889</v>
      </c>
      <c r="M132" s="65">
        <f t="shared" si="111"/>
        <v>0.95357468908976128</v>
      </c>
    </row>
    <row r="133" spans="1:13" ht="60">
      <c r="A133" s="114" t="s">
        <v>277</v>
      </c>
      <c r="B133" s="81">
        <f>B22/B75</f>
        <v>0.50850215711479896</v>
      </c>
      <c r="C133" s="81">
        <f t="shared" ref="C133:L133" si="113">C22/C75</f>
        <v>0.57522093884663139</v>
      </c>
      <c r="D133" s="81">
        <f t="shared" si="113"/>
        <v>0.99905032572776242</v>
      </c>
      <c r="E133" s="81">
        <f t="shared" si="113"/>
        <v>0.95437225548639304</v>
      </c>
      <c r="F133" s="81">
        <f t="shared" si="113"/>
        <v>0.57857358778634616</v>
      </c>
      <c r="G133" s="81">
        <f t="shared" si="113"/>
        <v>0.16207431919258974</v>
      </c>
      <c r="H133" s="81">
        <f t="shared" si="113"/>
        <v>0.2068672120856532</v>
      </c>
      <c r="I133" s="81">
        <f t="shared" si="113"/>
        <v>0.3201555764389814</v>
      </c>
      <c r="J133" s="81">
        <f t="shared" si="113"/>
        <v>0.1952890703295686</v>
      </c>
      <c r="K133" s="81">
        <f t="shared" si="113"/>
        <v>0.16813511697669645</v>
      </c>
      <c r="L133" s="81">
        <f t="shared" si="113"/>
        <v>0.20894525536122407</v>
      </c>
      <c r="M133" s="65">
        <f t="shared" si="111"/>
        <v>0.44338052866787686</v>
      </c>
    </row>
    <row r="134" spans="1:13" ht="90">
      <c r="A134" s="113" t="s">
        <v>278</v>
      </c>
      <c r="B134" s="59">
        <f>B75/B74</f>
        <v>0.74955820311623422</v>
      </c>
      <c r="C134" s="59">
        <f t="shared" ref="C134:L134" si="114">C75/C74</f>
        <v>0.73215505268802916</v>
      </c>
      <c r="D134" s="59">
        <f t="shared" si="114"/>
        <v>0.65175793133817295</v>
      </c>
      <c r="E134" s="59">
        <f t="shared" si="114"/>
        <v>0.66078129235996486</v>
      </c>
      <c r="F134" s="59">
        <f t="shared" si="114"/>
        <v>0.76496506867174185</v>
      </c>
      <c r="G134" s="59">
        <f t="shared" si="114"/>
        <v>0.79591554813198873</v>
      </c>
      <c r="H134" s="59">
        <f t="shared" si="114"/>
        <v>0.88297086600445152</v>
      </c>
      <c r="I134" s="59">
        <f t="shared" si="114"/>
        <v>0.75760358185074539</v>
      </c>
      <c r="J134" s="59">
        <f t="shared" si="114"/>
        <v>0.81116489827942362</v>
      </c>
      <c r="K134" s="59">
        <f t="shared" si="114"/>
        <v>0.74662246253380871</v>
      </c>
      <c r="L134" s="59">
        <f t="shared" si="114"/>
        <v>0.74484444980789988</v>
      </c>
      <c r="M134" s="65">
        <f t="shared" si="111"/>
        <v>0.75439448679840559</v>
      </c>
    </row>
    <row r="135" spans="1:13" ht="90">
      <c r="A135" s="112" t="s">
        <v>279</v>
      </c>
      <c r="B135" s="59">
        <f>B25/(B77+B78)</f>
        <v>2.1646396131447636E-2</v>
      </c>
      <c r="C135" s="59">
        <f t="shared" ref="C135:L135" si="115">C25/(C77+C78)</f>
        <v>1.6605701973869944E-2</v>
      </c>
      <c r="D135" s="59">
        <f t="shared" si="115"/>
        <v>1.196644172329236E-2</v>
      </c>
      <c r="E135" s="59">
        <f t="shared" si="115"/>
        <v>4.1235778016220553E-2</v>
      </c>
      <c r="F135" s="59">
        <f t="shared" si="115"/>
        <v>0</v>
      </c>
      <c r="G135" s="59">
        <f t="shared" si="115"/>
        <v>0</v>
      </c>
      <c r="H135" s="59">
        <f t="shared" si="115"/>
        <v>0</v>
      </c>
      <c r="I135" s="59">
        <f t="shared" si="115"/>
        <v>3.4668374774355096E-2</v>
      </c>
      <c r="J135" s="59">
        <f t="shared" si="115"/>
        <v>2.0998379333323422E-2</v>
      </c>
      <c r="K135" s="59">
        <f t="shared" si="115"/>
        <v>0</v>
      </c>
      <c r="L135" s="59">
        <f t="shared" si="115"/>
        <v>0</v>
      </c>
      <c r="M135" s="65">
        <f t="shared" si="111"/>
        <v>1.3374642904773547E-2</v>
      </c>
    </row>
    <row r="136" spans="1:13" ht="90">
      <c r="A136" s="112" t="s">
        <v>280</v>
      </c>
      <c r="B136" s="59">
        <f>B29/(B77+B78)</f>
        <v>0</v>
      </c>
      <c r="C136" s="59">
        <f t="shared" ref="C136:L136" si="116">C29/(C77+C78)</f>
        <v>0</v>
      </c>
      <c r="D136" s="59">
        <f t="shared" si="116"/>
        <v>0</v>
      </c>
      <c r="E136" s="59">
        <f t="shared" si="116"/>
        <v>0</v>
      </c>
      <c r="F136" s="59">
        <f t="shared" si="116"/>
        <v>1.9791396828484513E-2</v>
      </c>
      <c r="G136" s="59">
        <f t="shared" si="116"/>
        <v>2.4160884830619164E-2</v>
      </c>
      <c r="H136" s="59">
        <f t="shared" si="116"/>
        <v>1.7657669659268273E-2</v>
      </c>
      <c r="I136" s="59">
        <f t="shared" si="116"/>
        <v>0</v>
      </c>
      <c r="J136" s="59">
        <f t="shared" si="116"/>
        <v>0</v>
      </c>
      <c r="K136" s="59">
        <f t="shared" si="116"/>
        <v>1.5090226246895096E-2</v>
      </c>
      <c r="L136" s="59">
        <f t="shared" si="116"/>
        <v>1.2412039993459878E-2</v>
      </c>
      <c r="M136" s="65">
        <f t="shared" si="111"/>
        <v>8.1011106871569944E-3</v>
      </c>
    </row>
    <row r="137" spans="1:13" ht="45">
      <c r="A137" s="112" t="s">
        <v>281</v>
      </c>
      <c r="B137" s="37"/>
      <c r="C137" s="59">
        <f>C33/C119</f>
        <v>0.19626529058578107</v>
      </c>
      <c r="D137" s="59">
        <f t="shared" ref="D137:L137" si="117">D33/D119</f>
        <v>0.21918487020335378</v>
      </c>
      <c r="E137" s="59">
        <f t="shared" si="117"/>
        <v>0.32549361866851506</v>
      </c>
      <c r="F137" s="59">
        <f t="shared" si="117"/>
        <v>0.34000298316609862</v>
      </c>
      <c r="G137" s="59">
        <f t="shared" si="117"/>
        <v>0.45213195071187812</v>
      </c>
      <c r="H137" s="59">
        <f t="shared" si="117"/>
        <v>0.26973937041137536</v>
      </c>
      <c r="I137" s="59">
        <f t="shared" si="117"/>
        <v>0.34454945485282112</v>
      </c>
      <c r="J137" s="59">
        <f t="shared" si="117"/>
        <v>0.33336605788240736</v>
      </c>
      <c r="K137" s="59">
        <f t="shared" si="117"/>
        <v>0.34217608208011613</v>
      </c>
      <c r="L137" s="59">
        <f t="shared" si="117"/>
        <v>0.39013598983085013</v>
      </c>
      <c r="M137" s="65">
        <f t="shared" si="111"/>
        <v>0.32130456683931968</v>
      </c>
    </row>
    <row r="138" spans="1:13" ht="75">
      <c r="A138" s="113" t="s">
        <v>282</v>
      </c>
      <c r="B138" s="59">
        <f>B41/B74</f>
        <v>1.9528824792238587E-2</v>
      </c>
      <c r="C138" s="59">
        <f t="shared" ref="C138:L138" si="118">C41/C74</f>
        <v>1.7534793044599574E-2</v>
      </c>
      <c r="D138" s="59">
        <f t="shared" si="118"/>
        <v>2.4555035620903689E-2</v>
      </c>
      <c r="E138" s="59">
        <f t="shared" si="118"/>
        <v>3.0461098348877922E-2</v>
      </c>
      <c r="F138" s="59">
        <f t="shared" si="118"/>
        <v>3.4699653051192846E-2</v>
      </c>
      <c r="G138" s="59">
        <f t="shared" si="118"/>
        <v>3.4708312137346965E-2</v>
      </c>
      <c r="H138" s="59">
        <f t="shared" si="118"/>
        <v>3.2436618219445761E-2</v>
      </c>
      <c r="I138" s="59">
        <f t="shared" si="118"/>
        <v>2.4412224795311178E-2</v>
      </c>
      <c r="J138" s="59">
        <f t="shared" si="118"/>
        <v>9.3501815380780465E-3</v>
      </c>
      <c r="K138" s="59">
        <f t="shared" si="118"/>
        <v>0</v>
      </c>
      <c r="L138" s="59">
        <f t="shared" si="118"/>
        <v>6.7607353982066087E-3</v>
      </c>
      <c r="M138" s="65">
        <f t="shared" si="111"/>
        <v>2.1313406995109196E-2</v>
      </c>
    </row>
    <row r="139" spans="1:13" ht="90">
      <c r="A139" s="113" t="s">
        <v>283</v>
      </c>
      <c r="B139" s="59">
        <f>B46/B74</f>
        <v>0</v>
      </c>
      <c r="C139" s="59">
        <f t="shared" ref="C139:L139" si="119">C46/C74</f>
        <v>0</v>
      </c>
      <c r="D139" s="59">
        <f t="shared" si="119"/>
        <v>0.12403182219331214</v>
      </c>
      <c r="E139" s="59">
        <f t="shared" si="119"/>
        <v>0.11350370950904107</v>
      </c>
      <c r="F139" s="59">
        <f t="shared" si="119"/>
        <v>8.017090168077326E-2</v>
      </c>
      <c r="G139" s="59">
        <f t="shared" si="119"/>
        <v>2.9341463180996161E-2</v>
      </c>
      <c r="H139" s="59">
        <f t="shared" si="119"/>
        <v>0</v>
      </c>
      <c r="I139" s="59">
        <f t="shared" si="119"/>
        <v>4.3414376969894862E-3</v>
      </c>
      <c r="J139" s="59">
        <f t="shared" si="119"/>
        <v>3.6302507616017849E-3</v>
      </c>
      <c r="K139" s="59">
        <f t="shared" si="119"/>
        <v>0</v>
      </c>
      <c r="L139" s="59">
        <f t="shared" si="119"/>
        <v>1.7836128178596217E-2</v>
      </c>
      <c r="M139" s="65">
        <f t="shared" si="111"/>
        <v>3.3895973927391826E-2</v>
      </c>
    </row>
    <row r="140" spans="1:13" ht="90">
      <c r="A140" s="113" t="s">
        <v>284</v>
      </c>
      <c r="B140" s="59">
        <f>B55/B74</f>
        <v>0.14775137073911451</v>
      </c>
      <c r="C140" s="59">
        <f t="shared" ref="C140:L140" si="120">C55/C74</f>
        <v>0.10004270350627108</v>
      </c>
      <c r="D140" s="59">
        <f t="shared" si="120"/>
        <v>0</v>
      </c>
      <c r="E140" s="59">
        <f t="shared" si="120"/>
        <v>0</v>
      </c>
      <c r="F140" s="59">
        <f t="shared" si="120"/>
        <v>0</v>
      </c>
      <c r="G140" s="59">
        <f t="shared" si="120"/>
        <v>0</v>
      </c>
      <c r="H140" s="59">
        <f t="shared" si="120"/>
        <v>1.5171323834085438E-2</v>
      </c>
      <c r="I140" s="59">
        <f t="shared" si="120"/>
        <v>0</v>
      </c>
      <c r="J140" s="59">
        <f t="shared" si="120"/>
        <v>0</v>
      </c>
      <c r="K140" s="59">
        <f t="shared" si="120"/>
        <v>2.3425144479647204E-3</v>
      </c>
      <c r="L140" s="59">
        <f t="shared" si="120"/>
        <v>0</v>
      </c>
      <c r="M140" s="65">
        <f t="shared" si="111"/>
        <v>2.4118901138857795E-2</v>
      </c>
    </row>
    <row r="141" spans="1:13" ht="45">
      <c r="A141" s="113" t="s">
        <v>285</v>
      </c>
      <c r="B141" s="59">
        <f>(B57+B48)/(B77+B78)</f>
        <v>6.0931527125665137E-3</v>
      </c>
      <c r="C141" s="59">
        <f t="shared" ref="C141:L141" si="121">(C57+C48)/(C77+C78)</f>
        <v>1.033868783053684E-2</v>
      </c>
      <c r="D141" s="59">
        <f t="shared" si="121"/>
        <v>8.4655899013289983E-3</v>
      </c>
      <c r="E141" s="59">
        <f t="shared" si="121"/>
        <v>5.3746290442633566E-3</v>
      </c>
      <c r="F141" s="59">
        <f t="shared" si="121"/>
        <v>4.860217000455495E-3</v>
      </c>
      <c r="G141" s="59">
        <f t="shared" si="121"/>
        <v>3.5020550982013399E-3</v>
      </c>
      <c r="H141" s="59">
        <f t="shared" si="121"/>
        <v>5.189196390155559E-3</v>
      </c>
      <c r="I141" s="59">
        <f t="shared" si="121"/>
        <v>1.5988664376249538E-2</v>
      </c>
      <c r="J141" s="59">
        <f t="shared" si="121"/>
        <v>8.4669358316020547E-3</v>
      </c>
      <c r="K141" s="59">
        <f t="shared" si="121"/>
        <v>2.7813677553539043E-2</v>
      </c>
      <c r="L141" s="59">
        <f t="shared" si="121"/>
        <v>1.6091783818135263E-2</v>
      </c>
      <c r="M141" s="65">
        <f t="shared" si="111"/>
        <v>1.0198599050639455E-2</v>
      </c>
    </row>
    <row r="142" spans="1:13" ht="45">
      <c r="A142" s="113" t="s">
        <v>286</v>
      </c>
      <c r="B142" s="38"/>
      <c r="C142" s="59">
        <f>C122/C85</f>
        <v>0</v>
      </c>
      <c r="D142" s="59">
        <f t="shared" ref="D142:L142" si="122">D122/D85</f>
        <v>14.927652394009703</v>
      </c>
      <c r="E142" s="59">
        <f t="shared" si="122"/>
        <v>0</v>
      </c>
      <c r="F142" s="59">
        <f t="shared" si="122"/>
        <v>0</v>
      </c>
      <c r="G142" s="59">
        <f t="shared" si="122"/>
        <v>0</v>
      </c>
      <c r="H142" s="59">
        <f t="shared" si="122"/>
        <v>0</v>
      </c>
      <c r="I142" s="59">
        <f t="shared" si="122"/>
        <v>0</v>
      </c>
      <c r="J142" s="59">
        <f t="shared" si="122"/>
        <v>0</v>
      </c>
      <c r="K142" s="59">
        <f t="shared" si="122"/>
        <v>2.4015369836695484E-4</v>
      </c>
      <c r="L142" s="59">
        <f t="shared" si="122"/>
        <v>0.14262060660796266</v>
      </c>
      <c r="M142" s="65">
        <f t="shared" si="111"/>
        <v>1.5070513154316034</v>
      </c>
    </row>
    <row r="143" spans="1:13" ht="30.75" thickBot="1">
      <c r="A143" s="115" t="s">
        <v>287</v>
      </c>
      <c r="B143" s="62">
        <f>33%</f>
        <v>0.33</v>
      </c>
      <c r="C143" s="62">
        <f>33%</f>
        <v>0.33</v>
      </c>
      <c r="D143" s="62">
        <f>33%</f>
        <v>0.33</v>
      </c>
      <c r="E143" s="62">
        <f>33%</f>
        <v>0.33</v>
      </c>
      <c r="F143" s="62">
        <f>33%</f>
        <v>0.33</v>
      </c>
      <c r="G143" s="62">
        <f>33%</f>
        <v>0.33</v>
      </c>
      <c r="H143" s="62">
        <f>33%</f>
        <v>0.33</v>
      </c>
      <c r="I143" s="62">
        <f>33%</f>
        <v>0.33</v>
      </c>
      <c r="J143" s="62">
        <f>33%</f>
        <v>0.33</v>
      </c>
      <c r="K143" s="62">
        <f>33%</f>
        <v>0.33</v>
      </c>
      <c r="L143" s="62">
        <f>33%</f>
        <v>0.33</v>
      </c>
      <c r="M143" s="66">
        <f t="shared" si="111"/>
        <v>0.33</v>
      </c>
    </row>
    <row r="144" spans="1:13" ht="15.75" thickBot="1"/>
    <row r="145" spans="1:13" ht="15.75" thickBot="1">
      <c r="A145" s="707" t="s">
        <v>292</v>
      </c>
      <c r="B145" s="708"/>
      <c r="C145" s="708"/>
      <c r="D145" s="708"/>
      <c r="E145" s="708"/>
      <c r="F145" s="708"/>
      <c r="G145" s="708"/>
      <c r="H145" s="708"/>
      <c r="I145" s="708"/>
      <c r="J145" s="708"/>
      <c r="K145" s="708"/>
      <c r="L145" s="708"/>
      <c r="M145" s="709"/>
    </row>
    <row r="146" spans="1:13" ht="15.75" thickBot="1">
      <c r="A146" s="710" t="s">
        <v>293</v>
      </c>
      <c r="B146" s="711"/>
      <c r="C146" s="711"/>
      <c r="D146" s="711"/>
      <c r="E146" s="711"/>
      <c r="F146" s="711"/>
      <c r="G146" s="711"/>
      <c r="H146" s="711"/>
      <c r="I146" s="711"/>
      <c r="J146" s="711"/>
      <c r="K146" s="711"/>
      <c r="L146" s="711"/>
      <c r="M146" s="712"/>
    </row>
    <row r="147" spans="1:13" ht="75">
      <c r="A147" s="117" t="s">
        <v>294</v>
      </c>
      <c r="B147" s="118">
        <f>B74</f>
        <v>2138992</v>
      </c>
      <c r="C147" s="11">
        <f t="shared" ref="C147:L147" si="123">C74</f>
        <v>2618052</v>
      </c>
      <c r="D147" s="11">
        <f t="shared" si="123"/>
        <v>2189164</v>
      </c>
      <c r="E147" s="11">
        <f t="shared" si="123"/>
        <v>2298013</v>
      </c>
      <c r="F147" s="11">
        <f t="shared" si="123"/>
        <v>2304951</v>
      </c>
      <c r="G147" s="11">
        <f t="shared" si="123"/>
        <v>1983473</v>
      </c>
      <c r="H147" s="11">
        <f t="shared" si="123"/>
        <v>2208245</v>
      </c>
      <c r="I147" s="11">
        <f t="shared" si="123"/>
        <v>2884989</v>
      </c>
      <c r="J147" s="11">
        <f t="shared" si="123"/>
        <v>3915432</v>
      </c>
      <c r="K147" s="11">
        <f t="shared" si="123"/>
        <v>4202322</v>
      </c>
      <c r="L147" s="119">
        <f t="shared" si="123"/>
        <v>4673604</v>
      </c>
      <c r="M147" s="19">
        <f>AVERAGE(B147:L147)</f>
        <v>2856112.4545454546</v>
      </c>
    </row>
    <row r="148" spans="1:13" ht="60">
      <c r="A148" s="105" t="s">
        <v>296</v>
      </c>
      <c r="B148" s="68"/>
      <c r="C148" s="116">
        <v>4840107</v>
      </c>
      <c r="D148" s="116">
        <v>4942471</v>
      </c>
      <c r="E148" s="116">
        <v>4525869</v>
      </c>
      <c r="F148" s="116">
        <v>5284292</v>
      </c>
      <c r="G148" s="116">
        <v>5331511</v>
      </c>
      <c r="H148" s="116">
        <v>6383990</v>
      </c>
      <c r="I148" s="116">
        <v>7327870</v>
      </c>
      <c r="J148" s="116">
        <v>8727288</v>
      </c>
      <c r="K148" s="38"/>
      <c r="L148" s="39"/>
      <c r="M148" s="20">
        <f t="shared" ref="M148:M149" si="124">AVERAGE(B148:L148)</f>
        <v>5920424.75</v>
      </c>
    </row>
    <row r="149" spans="1:13" ht="60.75" thickBot="1">
      <c r="A149" s="70" t="s">
        <v>295</v>
      </c>
      <c r="B149" s="69"/>
      <c r="C149" s="62">
        <f>C147/B147-1</f>
        <v>0.22396530702312112</v>
      </c>
      <c r="D149" s="62">
        <f t="shared" ref="D149:L149" si="125">D147/C147-1</f>
        <v>-0.16381951160633934</v>
      </c>
      <c r="E149" s="62">
        <f t="shared" si="125"/>
        <v>4.9721720254855217E-2</v>
      </c>
      <c r="F149" s="62">
        <f t="shared" si="125"/>
        <v>3.0191300049215997E-3</v>
      </c>
      <c r="G149" s="62">
        <f t="shared" si="125"/>
        <v>-0.13947281308800052</v>
      </c>
      <c r="H149" s="62">
        <f t="shared" si="125"/>
        <v>0.1133224399827979</v>
      </c>
      <c r="I149" s="62">
        <f t="shared" si="125"/>
        <v>0.3064623717024153</v>
      </c>
      <c r="J149" s="62">
        <f t="shared" si="125"/>
        <v>0.35717397882626245</v>
      </c>
      <c r="K149" s="62">
        <f t="shared" si="125"/>
        <v>7.3271608343600469E-2</v>
      </c>
      <c r="L149" s="63">
        <f t="shared" si="125"/>
        <v>0.11214799817815013</v>
      </c>
      <c r="M149" s="21">
        <f t="shared" si="124"/>
        <v>9.3579222962178438E-2</v>
      </c>
    </row>
    <row r="150" spans="1:13" ht="15.75" thickBot="1"/>
    <row r="151" spans="1:13" ht="15.75" thickBot="1">
      <c r="A151" s="679" t="s">
        <v>273</v>
      </c>
      <c r="B151" s="671"/>
      <c r="C151" s="671"/>
      <c r="D151" s="671"/>
      <c r="E151" s="671"/>
      <c r="F151" s="671"/>
      <c r="G151" s="671"/>
      <c r="H151" s="671"/>
      <c r="I151" s="671"/>
      <c r="J151" s="671"/>
      <c r="K151" s="671"/>
      <c r="L151" s="671"/>
      <c r="M151" s="703"/>
    </row>
    <row r="152" spans="1:13">
      <c r="A152" s="121" t="s">
        <v>297</v>
      </c>
      <c r="B152" s="11">
        <f t="shared" ref="B152:L152" si="126">B27</f>
        <v>39640</v>
      </c>
      <c r="C152" s="11">
        <f t="shared" si="126"/>
        <v>44727</v>
      </c>
      <c r="D152" s="11">
        <f t="shared" si="126"/>
        <v>37940</v>
      </c>
      <c r="E152" s="11">
        <f t="shared" si="126"/>
        <v>39152</v>
      </c>
      <c r="F152" s="11">
        <f t="shared" si="126"/>
        <v>71853</v>
      </c>
      <c r="G152" s="11">
        <f t="shared" si="126"/>
        <v>216584</v>
      </c>
      <c r="H152" s="11">
        <f t="shared" si="126"/>
        <v>239297</v>
      </c>
      <c r="I152" s="11">
        <f t="shared" si="126"/>
        <v>245484</v>
      </c>
      <c r="J152" s="11">
        <f t="shared" si="126"/>
        <v>254936</v>
      </c>
      <c r="K152" s="11">
        <f t="shared" si="126"/>
        <v>297904</v>
      </c>
      <c r="L152" s="11">
        <f t="shared" si="126"/>
        <v>295941</v>
      </c>
      <c r="M152" s="19">
        <f>AVERAGE(B152:L152)</f>
        <v>162132.54545454544</v>
      </c>
    </row>
    <row r="153" spans="1:13">
      <c r="A153" s="113" t="s">
        <v>299</v>
      </c>
      <c r="B153" s="120">
        <v>559</v>
      </c>
      <c r="C153" s="2">
        <v>3984</v>
      </c>
      <c r="D153" s="1"/>
      <c r="E153" s="1"/>
      <c r="F153" s="38"/>
      <c r="G153" s="1">
        <v>967</v>
      </c>
      <c r="H153" s="2">
        <v>5797</v>
      </c>
      <c r="I153" s="2">
        <v>5800</v>
      </c>
      <c r="J153" s="2">
        <v>4878</v>
      </c>
      <c r="K153" s="2">
        <v>4183</v>
      </c>
      <c r="L153" s="8">
        <v>5300</v>
      </c>
      <c r="M153" s="20">
        <f t="shared" ref="M153:M154" si="127">AVERAGE(B153:L153)</f>
        <v>3933.5</v>
      </c>
    </row>
    <row r="154" spans="1:13" ht="30.75" thickBot="1">
      <c r="A154" s="122" t="s">
        <v>298</v>
      </c>
      <c r="B154" s="46"/>
      <c r="C154" s="16">
        <f>C152-B152+C153</f>
        <v>9071</v>
      </c>
      <c r="D154" s="16">
        <f t="shared" ref="D154:F154" si="128">D152-C152+D153</f>
        <v>-6787</v>
      </c>
      <c r="E154" s="16">
        <f t="shared" si="128"/>
        <v>1212</v>
      </c>
      <c r="F154" s="16">
        <f t="shared" si="128"/>
        <v>32701</v>
      </c>
      <c r="G154" s="16">
        <f t="shared" ref="G154" si="129">G152-F152+G153</f>
        <v>145698</v>
      </c>
      <c r="H154" s="16">
        <f t="shared" ref="H154:I154" si="130">H152-G152+H153</f>
        <v>28510</v>
      </c>
      <c r="I154" s="16">
        <f t="shared" si="130"/>
        <v>11987</v>
      </c>
      <c r="J154" s="16">
        <f t="shared" ref="J154" si="131">J152-I152+J153</f>
        <v>14330</v>
      </c>
      <c r="K154" s="16">
        <f>K152-J152+K153</f>
        <v>47151</v>
      </c>
      <c r="L154" s="16">
        <f>L152-K152+L153</f>
        <v>3337</v>
      </c>
      <c r="M154" s="21">
        <f t="shared" si="127"/>
        <v>28721</v>
      </c>
    </row>
    <row r="155" spans="1:13"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8"/>
    </row>
    <row r="156" spans="1:13">
      <c r="H156" s="289"/>
      <c r="I156" s="289"/>
      <c r="J156" s="289"/>
      <c r="K156" s="289"/>
      <c r="L156" s="289"/>
      <c r="M156" s="125"/>
    </row>
  </sheetData>
  <mergeCells count="24">
    <mergeCell ref="A1:M1"/>
    <mergeCell ref="B3:M3"/>
    <mergeCell ref="A118:M118"/>
    <mergeCell ref="A151:M151"/>
    <mergeCell ref="A125:M125"/>
    <mergeCell ref="A121:M121"/>
    <mergeCell ref="A145:M145"/>
    <mergeCell ref="A146:M146"/>
    <mergeCell ref="A73:L73"/>
    <mergeCell ref="A88:M88"/>
    <mergeCell ref="A115:M115"/>
    <mergeCell ref="A89:M89"/>
    <mergeCell ref="A94:M94"/>
    <mergeCell ref="A102:M102"/>
    <mergeCell ref="A108:M108"/>
    <mergeCell ref="AO1:AZ1"/>
    <mergeCell ref="AO3:AZ3"/>
    <mergeCell ref="AO73:AZ73"/>
    <mergeCell ref="O3:Z3"/>
    <mergeCell ref="O1:Z1"/>
    <mergeCell ref="O73:Z73"/>
    <mergeCell ref="AB1:AM1"/>
    <mergeCell ref="AB3:AM3"/>
    <mergeCell ref="AB73:AM73"/>
  </mergeCells>
  <pageMargins left="0.7" right="0.7" top="0.75" bottom="0.75" header="0.3" footer="0.3"/>
  <pageSetup orientation="portrait" r:id="rId1"/>
  <ignoredErrors>
    <ignoredError sqref="C95:D96 E95:L95 E96 C97:L97 F96:L96" formulaRange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X337"/>
  <sheetViews>
    <sheetView zoomScaleNormal="100" workbookViewId="0">
      <pane xSplit="2" ySplit="2" topLeftCell="C3" activePane="bottomRight" state="frozen"/>
      <selection pane="topRight" activeCell="I1" sqref="I1"/>
      <selection pane="bottomLeft" activeCell="A3" sqref="A3"/>
      <selection pane="bottomRight" activeCell="D8" sqref="D8"/>
    </sheetView>
  </sheetViews>
  <sheetFormatPr defaultColWidth="11.42578125" defaultRowHeight="11.25"/>
  <cols>
    <col min="1" max="1" width="42.42578125" style="384" customWidth="1"/>
    <col min="2" max="2" width="4.5703125" style="384" customWidth="1"/>
    <col min="3" max="3" width="11" style="384" bestFit="1" customWidth="1"/>
    <col min="4" max="4" width="13.28515625" style="384" bestFit="1" customWidth="1"/>
    <col min="5" max="5" width="12.28515625" style="384" customWidth="1"/>
    <col min="6" max="6" width="11.42578125" style="384" customWidth="1"/>
    <col min="7" max="8" width="12.140625" style="384" customWidth="1"/>
    <col min="9" max="9" width="14" style="384" customWidth="1"/>
    <col min="10" max="10" width="13" style="384" customWidth="1"/>
    <col min="11" max="11" width="14.7109375" style="384" customWidth="1"/>
    <col min="12" max="12" width="13.7109375" style="384" customWidth="1"/>
    <col min="13" max="13" width="12.7109375" style="384" customWidth="1"/>
    <col min="14" max="15" width="11.5703125" style="384" bestFit="1" customWidth="1"/>
    <col min="16" max="16384" width="11.42578125" style="384"/>
  </cols>
  <sheetData>
    <row r="1" spans="1:15">
      <c r="A1" s="383" t="s">
        <v>311</v>
      </c>
      <c r="B1" s="383"/>
      <c r="C1" s="382">
        <v>2009</v>
      </c>
      <c r="D1" s="348">
        <v>2010</v>
      </c>
      <c r="E1" s="348">
        <v>2011</v>
      </c>
      <c r="F1" s="348">
        <v>2012</v>
      </c>
      <c r="G1" s="348">
        <v>2013</v>
      </c>
      <c r="H1" s="348">
        <v>2014</v>
      </c>
      <c r="I1" s="348">
        <v>2015</v>
      </c>
      <c r="J1" s="348">
        <v>2016</v>
      </c>
      <c r="K1" s="349">
        <v>2017</v>
      </c>
      <c r="L1" s="349">
        <v>2018</v>
      </c>
      <c r="M1" s="349">
        <v>2019</v>
      </c>
    </row>
    <row r="2" spans="1:15">
      <c r="A2" s="386" t="s">
        <v>1160</v>
      </c>
      <c r="B2" s="386"/>
      <c r="C2" s="435">
        <f t="shared" ref="C2:M2" si="0">C279</f>
        <v>0</v>
      </c>
      <c r="D2" s="451">
        <f t="shared" si="0"/>
        <v>0</v>
      </c>
      <c r="E2" s="435">
        <f t="shared" si="0"/>
        <v>0</v>
      </c>
      <c r="F2" s="435">
        <f t="shared" si="0"/>
        <v>0</v>
      </c>
      <c r="G2" s="435">
        <f t="shared" si="0"/>
        <v>0</v>
      </c>
      <c r="H2" s="435">
        <f t="shared" si="0"/>
        <v>0</v>
      </c>
      <c r="I2" s="435">
        <f t="shared" si="0"/>
        <v>0</v>
      </c>
      <c r="J2" s="435">
        <f t="shared" si="0"/>
        <v>0</v>
      </c>
      <c r="K2" s="435">
        <f t="shared" si="0"/>
        <v>0</v>
      </c>
      <c r="L2" s="435">
        <f t="shared" si="0"/>
        <v>0</v>
      </c>
      <c r="M2" s="435">
        <f t="shared" si="0"/>
        <v>0</v>
      </c>
      <c r="N2" s="387"/>
      <c r="O2" s="387"/>
    </row>
    <row r="3" spans="1:15" ht="12" thickBot="1">
      <c r="D3" s="350"/>
      <c r="F3" s="383"/>
    </row>
    <row r="4" spans="1:15" ht="12" thickBot="1">
      <c r="A4" s="378" t="s">
        <v>461</v>
      </c>
      <c r="B4" s="383"/>
      <c r="C4" s="383"/>
      <c r="D4" s="383"/>
      <c r="E4" s="383"/>
    </row>
    <row r="5" spans="1:15">
      <c r="A5" s="351" t="s">
        <v>1193</v>
      </c>
      <c r="B5" s="383"/>
      <c r="C5" s="416">
        <f>'ANTONIO ARAUJO &amp; CIA'!L154</f>
        <v>3337</v>
      </c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5">
      <c r="A6" s="351" t="s">
        <v>462</v>
      </c>
      <c r="B6" s="383"/>
      <c r="C6" s="761">
        <v>5</v>
      </c>
      <c r="D6" s="352"/>
      <c r="E6" s="353"/>
      <c r="F6" s="382"/>
      <c r="G6" s="382"/>
      <c r="H6" s="382"/>
      <c r="I6" s="382"/>
      <c r="J6" s="382"/>
      <c r="K6" s="382"/>
      <c r="L6" s="382"/>
      <c r="M6" s="382"/>
    </row>
    <row r="7" spans="1:15">
      <c r="A7" s="354" t="s">
        <v>460</v>
      </c>
      <c r="B7" s="383"/>
      <c r="C7" s="416">
        <f>'ANTONIO ARAUJO &amp; CIA'!L69</f>
        <v>2979562</v>
      </c>
      <c r="D7" s="352"/>
      <c r="E7" s="353"/>
      <c r="F7" s="382"/>
      <c r="G7" s="382"/>
      <c r="H7" s="382"/>
      <c r="I7" s="382"/>
      <c r="J7" s="382"/>
      <c r="K7" s="382"/>
      <c r="L7" s="382"/>
      <c r="M7" s="382"/>
    </row>
    <row r="8" spans="1:15">
      <c r="A8" s="354" t="s">
        <v>459</v>
      </c>
      <c r="B8" s="383"/>
      <c r="C8" s="762">
        <v>0.33</v>
      </c>
      <c r="D8" s="762">
        <v>0.33</v>
      </c>
      <c r="E8" s="762">
        <v>0.33</v>
      </c>
      <c r="F8" s="762">
        <v>0.33</v>
      </c>
      <c r="G8" s="762">
        <v>0.33</v>
      </c>
      <c r="H8" s="762">
        <v>0.33</v>
      </c>
      <c r="I8" s="762">
        <v>0.33</v>
      </c>
      <c r="J8" s="762">
        <v>0.33</v>
      </c>
      <c r="K8" s="763">
        <v>0.3</v>
      </c>
      <c r="L8" s="763">
        <f>K8</f>
        <v>0.3</v>
      </c>
      <c r="M8" s="763">
        <f>L8</f>
        <v>0.3</v>
      </c>
    </row>
    <row r="9" spans="1:15">
      <c r="A9" s="354" t="s">
        <v>1162</v>
      </c>
      <c r="B9" s="383"/>
      <c r="C9" s="360">
        <f>'ANTONIO ARAUJO &amp; CIA'!L22</f>
        <v>727361</v>
      </c>
      <c r="D9" s="419"/>
      <c r="E9" s="420"/>
      <c r="F9" s="419"/>
      <c r="G9" s="420"/>
      <c r="H9" s="419"/>
      <c r="I9" s="419"/>
      <c r="J9" s="419" t="s">
        <v>306</v>
      </c>
      <c r="K9" s="357"/>
      <c r="L9" s="358"/>
      <c r="M9" s="382"/>
    </row>
    <row r="10" spans="1:15">
      <c r="A10" s="355" t="s">
        <v>458</v>
      </c>
      <c r="B10" s="383"/>
      <c r="C10" s="418"/>
      <c r="D10" s="421"/>
      <c r="E10" s="348"/>
      <c r="F10" s="382"/>
      <c r="G10" s="382"/>
      <c r="H10" s="382"/>
      <c r="I10" s="382"/>
      <c r="J10" s="382" t="s">
        <v>306</v>
      </c>
      <c r="K10" s="357"/>
      <c r="L10" s="358"/>
      <c r="M10" s="382"/>
    </row>
    <row r="11" spans="1:15">
      <c r="A11" s="354" t="s">
        <v>457</v>
      </c>
      <c r="B11" s="383"/>
      <c r="C11" s="415">
        <f>ANEXOS!E92</f>
        <v>1484205.5144323283</v>
      </c>
      <c r="D11" s="348"/>
      <c r="E11" s="348"/>
      <c r="F11" s="382"/>
      <c r="G11" s="382"/>
      <c r="H11" s="382"/>
      <c r="I11" s="382"/>
      <c r="J11" s="382" t="s">
        <v>306</v>
      </c>
      <c r="K11" s="357"/>
      <c r="L11" s="358"/>
      <c r="M11" s="382"/>
    </row>
    <row r="12" spans="1:15">
      <c r="A12" s="354" t="s">
        <v>456</v>
      </c>
      <c r="B12" s="383"/>
      <c r="C12" s="422">
        <f>ANEXOS!M70</f>
        <v>131259.48556767183</v>
      </c>
      <c r="D12" s="348"/>
      <c r="E12" s="419"/>
      <c r="F12" s="382"/>
      <c r="G12" s="353"/>
      <c r="H12" s="382"/>
      <c r="I12" s="382"/>
      <c r="J12" s="382" t="s">
        <v>306</v>
      </c>
      <c r="K12" s="357"/>
      <c r="L12" s="358"/>
      <c r="M12" s="382"/>
    </row>
    <row r="13" spans="1:15" ht="22.5">
      <c r="A13" s="354" t="s">
        <v>1207</v>
      </c>
      <c r="C13" s="422">
        <v>0</v>
      </c>
      <c r="D13" s="348"/>
      <c r="E13" s="423"/>
      <c r="F13" s="382"/>
      <c r="G13" s="382"/>
      <c r="H13" s="382"/>
      <c r="I13" s="382"/>
      <c r="J13" s="382" t="s">
        <v>306</v>
      </c>
      <c r="K13" s="357"/>
      <c r="L13" s="358"/>
      <c r="M13" s="382"/>
    </row>
    <row r="14" spans="1:15">
      <c r="A14" s="354" t="s">
        <v>455</v>
      </c>
      <c r="C14" s="761">
        <v>10</v>
      </c>
      <c r="D14" s="348"/>
      <c r="E14" s="423"/>
      <c r="F14" s="382"/>
      <c r="G14" s="382"/>
      <c r="H14" s="382"/>
      <c r="I14" s="382"/>
      <c r="J14" s="382" t="s">
        <v>306</v>
      </c>
      <c r="K14" s="357"/>
      <c r="L14" s="358"/>
      <c r="M14" s="382"/>
    </row>
    <row r="15" spans="1:15" ht="22.5">
      <c r="A15" s="351" t="s">
        <v>1206</v>
      </c>
      <c r="C15" s="417">
        <f>'ANTONIO ARAUJO &amp; CIA'!L32</f>
        <v>102083</v>
      </c>
      <c r="D15" s="348"/>
      <c r="E15" s="423"/>
      <c r="F15" s="382"/>
      <c r="G15" s="382"/>
      <c r="H15" s="382"/>
      <c r="I15" s="382"/>
      <c r="J15" s="382"/>
      <c r="K15" s="357"/>
      <c r="L15" s="358"/>
      <c r="M15" s="382"/>
    </row>
    <row r="16" spans="1:15">
      <c r="A16" s="354" t="s">
        <v>454</v>
      </c>
      <c r="C16" s="761">
        <v>1</v>
      </c>
      <c r="D16" s="348"/>
      <c r="E16" s="423"/>
      <c r="F16" s="382"/>
      <c r="G16" s="382"/>
      <c r="H16" s="382"/>
      <c r="I16" s="382"/>
      <c r="J16" s="382" t="s">
        <v>306</v>
      </c>
      <c r="K16" s="357"/>
      <c r="L16" s="358"/>
      <c r="M16" s="382"/>
    </row>
    <row r="17" spans="1:15" ht="22.5">
      <c r="A17" s="354" t="s">
        <v>453</v>
      </c>
      <c r="C17" s="760">
        <v>0.8</v>
      </c>
      <c r="D17" s="425"/>
      <c r="E17" s="423"/>
      <c r="F17" s="382"/>
      <c r="G17" s="382"/>
      <c r="H17" s="382"/>
      <c r="I17" s="382"/>
      <c r="J17" s="382" t="s">
        <v>306</v>
      </c>
      <c r="K17" s="357"/>
      <c r="L17" s="358"/>
      <c r="M17" s="382"/>
    </row>
    <row r="18" spans="1:15">
      <c r="A18" s="384" t="s">
        <v>419</v>
      </c>
      <c r="C18" s="426"/>
      <c r="D18" s="348"/>
      <c r="E18" s="423"/>
      <c r="F18" s="382"/>
      <c r="G18" s="382"/>
      <c r="H18" s="382"/>
      <c r="I18" s="382"/>
      <c r="J18" s="382" t="s">
        <v>306</v>
      </c>
      <c r="K18" s="357"/>
      <c r="L18" s="358"/>
      <c r="M18" s="382"/>
    </row>
    <row r="19" spans="1:15">
      <c r="A19" s="384" t="s">
        <v>418</v>
      </c>
      <c r="C19" s="426"/>
      <c r="D19" s="348"/>
      <c r="E19" s="423"/>
      <c r="F19" s="382"/>
      <c r="G19" s="382"/>
      <c r="H19" s="382"/>
      <c r="I19" s="382"/>
      <c r="J19" s="382" t="s">
        <v>306</v>
      </c>
      <c r="K19" s="357"/>
      <c r="L19" s="358"/>
      <c r="M19" s="382"/>
    </row>
    <row r="20" spans="1:15">
      <c r="A20" s="384" t="s">
        <v>452</v>
      </c>
      <c r="C20" s="426"/>
      <c r="D20" s="348"/>
      <c r="E20" s="423"/>
      <c r="F20" s="382"/>
      <c r="G20" s="382"/>
      <c r="H20" s="382"/>
      <c r="I20" s="382"/>
      <c r="J20" s="382" t="s">
        <v>306</v>
      </c>
      <c r="K20" s="357"/>
      <c r="L20" s="358"/>
      <c r="M20" s="382"/>
    </row>
    <row r="21" spans="1:15" ht="22.5">
      <c r="A21" s="354" t="s">
        <v>1159</v>
      </c>
      <c r="C21" s="382"/>
      <c r="D21" s="382"/>
      <c r="E21" s="382"/>
      <c r="F21" s="382"/>
      <c r="G21" s="382"/>
      <c r="H21" s="382"/>
      <c r="I21" s="382"/>
      <c r="J21" s="382" t="s">
        <v>306</v>
      </c>
      <c r="K21" s="357"/>
      <c r="L21" s="358"/>
      <c r="M21" s="382"/>
    </row>
    <row r="22" spans="1:15">
      <c r="A22" s="354" t="s">
        <v>451</v>
      </c>
      <c r="B22" s="383"/>
      <c r="C22" s="356"/>
      <c r="D22" s="755">
        <v>3.6450000000000003E-2</v>
      </c>
      <c r="E22" s="755">
        <v>3.6450000000000003E-2</v>
      </c>
      <c r="F22" s="755">
        <v>3.6150000000000002E-2</v>
      </c>
      <c r="G22" s="755">
        <v>3.5000000000000003E-2</v>
      </c>
      <c r="H22" s="755">
        <v>3.5000000000000003E-2</v>
      </c>
      <c r="I22" s="755">
        <v>0.03</v>
      </c>
      <c r="J22" s="755">
        <v>0.03</v>
      </c>
      <c r="K22" s="756">
        <v>0.03</v>
      </c>
      <c r="L22" s="757">
        <v>0.03</v>
      </c>
      <c r="M22" s="758">
        <v>0.03</v>
      </c>
      <c r="N22" s="396"/>
      <c r="O22" s="396"/>
    </row>
    <row r="23" spans="1:15" ht="22.5">
      <c r="A23" s="354" t="s">
        <v>450</v>
      </c>
      <c r="B23" s="383"/>
      <c r="C23" s="356"/>
      <c r="D23" s="759">
        <f>ANEXOS!G13</f>
        <v>5.1566875068404718E-2</v>
      </c>
      <c r="E23" s="759">
        <f t="shared" ref="E23:L27" si="1">D23</f>
        <v>5.1566875068404718E-2</v>
      </c>
      <c r="F23" s="759">
        <f t="shared" si="1"/>
        <v>5.1566875068404718E-2</v>
      </c>
      <c r="G23" s="759">
        <f t="shared" si="1"/>
        <v>5.1566875068404718E-2</v>
      </c>
      <c r="H23" s="759">
        <f t="shared" si="1"/>
        <v>5.1566875068404718E-2</v>
      </c>
      <c r="I23" s="759">
        <f t="shared" si="1"/>
        <v>5.1566875068404718E-2</v>
      </c>
      <c r="J23" s="759">
        <f t="shared" si="1"/>
        <v>5.1566875068404718E-2</v>
      </c>
      <c r="K23" s="759">
        <f t="shared" si="1"/>
        <v>5.1566875068404718E-2</v>
      </c>
      <c r="L23" s="759">
        <f t="shared" si="1"/>
        <v>5.1566875068404718E-2</v>
      </c>
      <c r="M23" s="759">
        <f>L23</f>
        <v>5.1566875068404718E-2</v>
      </c>
      <c r="N23" s="397"/>
      <c r="O23" s="397"/>
    </row>
    <row r="24" spans="1:15" ht="22.5">
      <c r="A24" s="354" t="s">
        <v>449</v>
      </c>
      <c r="B24" s="383"/>
      <c r="C24" s="356"/>
      <c r="D24" s="759">
        <f>ANEXOS!G42</f>
        <v>2.6999467523267071E-2</v>
      </c>
      <c r="E24" s="759">
        <f t="shared" si="1"/>
        <v>2.6999467523267071E-2</v>
      </c>
      <c r="F24" s="759">
        <f t="shared" si="1"/>
        <v>2.6999467523267071E-2</v>
      </c>
      <c r="G24" s="759">
        <f t="shared" si="1"/>
        <v>2.6999467523267071E-2</v>
      </c>
      <c r="H24" s="759">
        <f t="shared" si="1"/>
        <v>2.6999467523267071E-2</v>
      </c>
      <c r="I24" s="759">
        <f t="shared" si="1"/>
        <v>2.6999467523267071E-2</v>
      </c>
      <c r="J24" s="759">
        <f t="shared" si="1"/>
        <v>2.6999467523267071E-2</v>
      </c>
      <c r="K24" s="759">
        <f t="shared" si="1"/>
        <v>2.6999467523267071E-2</v>
      </c>
      <c r="L24" s="759">
        <f t="shared" si="1"/>
        <v>2.6999467523267071E-2</v>
      </c>
      <c r="M24" s="759">
        <f>L24</f>
        <v>2.6999467523267071E-2</v>
      </c>
      <c r="N24" s="397"/>
      <c r="O24" s="397"/>
    </row>
    <row r="25" spans="1:15">
      <c r="A25" s="354" t="s">
        <v>448</v>
      </c>
      <c r="B25" s="383"/>
      <c r="C25" s="356"/>
      <c r="D25" s="759">
        <f>ANEXOS!H93</f>
        <v>2.5644743439893869E-2</v>
      </c>
      <c r="E25" s="759">
        <f t="shared" si="1"/>
        <v>2.5644743439893869E-2</v>
      </c>
      <c r="F25" s="759">
        <f t="shared" si="1"/>
        <v>2.5644743439893869E-2</v>
      </c>
      <c r="G25" s="759">
        <f t="shared" si="1"/>
        <v>2.5644743439893869E-2</v>
      </c>
      <c r="H25" s="759">
        <f t="shared" si="1"/>
        <v>2.5644743439893869E-2</v>
      </c>
      <c r="I25" s="759">
        <f t="shared" si="1"/>
        <v>2.5644743439893869E-2</v>
      </c>
      <c r="J25" s="759">
        <f t="shared" si="1"/>
        <v>2.5644743439893869E-2</v>
      </c>
      <c r="K25" s="759">
        <f t="shared" si="1"/>
        <v>2.5644743439893869E-2</v>
      </c>
      <c r="L25" s="759">
        <f t="shared" si="1"/>
        <v>2.5644743439893869E-2</v>
      </c>
      <c r="M25" s="759">
        <f>L25</f>
        <v>2.5644743439893869E-2</v>
      </c>
      <c r="N25" s="397"/>
      <c r="O25" s="397"/>
    </row>
    <row r="26" spans="1:15">
      <c r="A26" s="351" t="s">
        <v>1196</v>
      </c>
      <c r="B26" s="383"/>
      <c r="C26" s="356"/>
      <c r="D26" s="759">
        <f>ANEXOS!E61</f>
        <v>1.6752495760722675E-2</v>
      </c>
      <c r="E26" s="759">
        <f>D26</f>
        <v>1.6752495760722675E-2</v>
      </c>
      <c r="F26" s="759">
        <f t="shared" si="1"/>
        <v>1.6752495760722675E-2</v>
      </c>
      <c r="G26" s="759">
        <f t="shared" si="1"/>
        <v>1.6752495760722675E-2</v>
      </c>
      <c r="H26" s="759">
        <f t="shared" si="1"/>
        <v>1.6752495760722675E-2</v>
      </c>
      <c r="I26" s="759">
        <f t="shared" si="1"/>
        <v>1.6752495760722675E-2</v>
      </c>
      <c r="J26" s="759">
        <f t="shared" si="1"/>
        <v>1.6752495760722675E-2</v>
      </c>
      <c r="K26" s="759">
        <f t="shared" si="1"/>
        <v>1.6752495760722675E-2</v>
      </c>
      <c r="L26" s="759">
        <f t="shared" si="1"/>
        <v>1.6752495760722675E-2</v>
      </c>
      <c r="M26" s="759">
        <f>L26</f>
        <v>1.6752495760722675E-2</v>
      </c>
      <c r="N26" s="397"/>
      <c r="O26" s="397"/>
    </row>
    <row r="27" spans="1:15" ht="22.5">
      <c r="A27" s="354" t="s">
        <v>447</v>
      </c>
      <c r="B27" s="383"/>
      <c r="C27" s="356"/>
      <c r="D27" s="759">
        <f>ANEXOS!P42</f>
        <v>2.7690695257280757E-2</v>
      </c>
      <c r="E27" s="759">
        <f t="shared" si="1"/>
        <v>2.7690695257280757E-2</v>
      </c>
      <c r="F27" s="759">
        <f t="shared" si="1"/>
        <v>2.7690695257280757E-2</v>
      </c>
      <c r="G27" s="759">
        <f t="shared" si="1"/>
        <v>2.7690695257280757E-2</v>
      </c>
      <c r="H27" s="759">
        <f t="shared" si="1"/>
        <v>2.7690695257280757E-2</v>
      </c>
      <c r="I27" s="759">
        <f t="shared" si="1"/>
        <v>2.7690695257280757E-2</v>
      </c>
      <c r="J27" s="759">
        <f t="shared" si="1"/>
        <v>2.7690695257280757E-2</v>
      </c>
      <c r="K27" s="759">
        <f t="shared" si="1"/>
        <v>2.7690695257280757E-2</v>
      </c>
      <c r="L27" s="759">
        <f t="shared" si="1"/>
        <v>2.7690695257280757E-2</v>
      </c>
      <c r="M27" s="759">
        <f>L27</f>
        <v>2.7690695257280757E-2</v>
      </c>
      <c r="N27" s="397"/>
      <c r="O27" s="397"/>
    </row>
    <row r="28" spans="1:15" ht="22.5">
      <c r="A28" s="354" t="s">
        <v>446</v>
      </c>
      <c r="B28" s="398"/>
      <c r="C28" s="356"/>
      <c r="D28" s="755"/>
      <c r="E28" s="755"/>
      <c r="F28" s="755"/>
      <c r="G28" s="755"/>
      <c r="H28" s="755"/>
      <c r="I28" s="755"/>
      <c r="J28" s="755"/>
      <c r="K28" s="756"/>
      <c r="L28" s="757"/>
      <c r="M28" s="756"/>
    </row>
    <row r="29" spans="1:15">
      <c r="A29" s="354" t="s">
        <v>445</v>
      </c>
      <c r="B29" s="383"/>
      <c r="C29" s="356"/>
      <c r="D29" s="755"/>
      <c r="E29" s="755"/>
      <c r="F29" s="755"/>
      <c r="G29" s="755"/>
      <c r="H29" s="755"/>
      <c r="I29" s="755"/>
      <c r="J29" s="755"/>
      <c r="K29" s="756"/>
      <c r="L29" s="757"/>
      <c r="M29" s="756"/>
    </row>
    <row r="30" spans="1:15">
      <c r="A30" s="354" t="s">
        <v>444</v>
      </c>
      <c r="B30" s="383"/>
      <c r="C30" s="356"/>
      <c r="D30" s="759">
        <f>'TCC-TES'!W29</f>
        <v>8.564729118804798E-2</v>
      </c>
      <c r="E30" s="759">
        <f t="shared" ref="E30:L32" si="2">D30</f>
        <v>8.564729118804798E-2</v>
      </c>
      <c r="F30" s="759">
        <f t="shared" si="2"/>
        <v>8.564729118804798E-2</v>
      </c>
      <c r="G30" s="759">
        <f t="shared" si="2"/>
        <v>8.564729118804798E-2</v>
      </c>
      <c r="H30" s="759">
        <f t="shared" si="2"/>
        <v>8.564729118804798E-2</v>
      </c>
      <c r="I30" s="759">
        <f t="shared" si="2"/>
        <v>8.564729118804798E-2</v>
      </c>
      <c r="J30" s="759">
        <f t="shared" si="2"/>
        <v>8.564729118804798E-2</v>
      </c>
      <c r="K30" s="759">
        <f t="shared" si="2"/>
        <v>8.564729118804798E-2</v>
      </c>
      <c r="L30" s="759">
        <f t="shared" si="2"/>
        <v>8.564729118804798E-2</v>
      </c>
      <c r="M30" s="759">
        <f>L30</f>
        <v>8.564729118804798E-2</v>
      </c>
      <c r="N30" s="397"/>
      <c r="O30" s="397"/>
    </row>
    <row r="31" spans="1:15" ht="22.5">
      <c r="A31" s="354" t="s">
        <v>443</v>
      </c>
      <c r="B31" s="383"/>
      <c r="C31" s="427"/>
      <c r="D31" s="759">
        <f>'TCC-TES'!U29</f>
        <v>3.1988029063533291E-2</v>
      </c>
      <c r="E31" s="759">
        <f t="shared" si="2"/>
        <v>3.1988029063533291E-2</v>
      </c>
      <c r="F31" s="759">
        <f t="shared" si="2"/>
        <v>3.1988029063533291E-2</v>
      </c>
      <c r="G31" s="759">
        <f t="shared" si="2"/>
        <v>3.1988029063533291E-2</v>
      </c>
      <c r="H31" s="759">
        <f t="shared" si="2"/>
        <v>3.1988029063533291E-2</v>
      </c>
      <c r="I31" s="759">
        <f t="shared" si="2"/>
        <v>3.1988029063533291E-2</v>
      </c>
      <c r="J31" s="759">
        <f t="shared" si="2"/>
        <v>3.1988029063533291E-2</v>
      </c>
      <c r="K31" s="759">
        <f t="shared" si="2"/>
        <v>3.1988029063533291E-2</v>
      </c>
      <c r="L31" s="759">
        <f t="shared" si="2"/>
        <v>3.1988029063533291E-2</v>
      </c>
      <c r="M31" s="759">
        <f>L31</f>
        <v>3.1988029063533291E-2</v>
      </c>
      <c r="N31" s="397"/>
      <c r="O31" s="397"/>
    </row>
    <row r="32" spans="1:15">
      <c r="A32" s="354" t="s">
        <v>442</v>
      </c>
      <c r="C32" s="427"/>
      <c r="D32" s="755">
        <f>'TCC-TES'!Y29</f>
        <v>-1.951923191815429E-2</v>
      </c>
      <c r="E32" s="759">
        <f t="shared" si="2"/>
        <v>-1.951923191815429E-2</v>
      </c>
      <c r="F32" s="759">
        <f t="shared" si="2"/>
        <v>-1.951923191815429E-2</v>
      </c>
      <c r="G32" s="759">
        <f t="shared" si="2"/>
        <v>-1.951923191815429E-2</v>
      </c>
      <c r="H32" s="759">
        <f t="shared" si="2"/>
        <v>-1.951923191815429E-2</v>
      </c>
      <c r="I32" s="759">
        <f t="shared" si="2"/>
        <v>-1.951923191815429E-2</v>
      </c>
      <c r="J32" s="759">
        <f t="shared" si="2"/>
        <v>-1.951923191815429E-2</v>
      </c>
      <c r="K32" s="759">
        <f t="shared" si="2"/>
        <v>-1.951923191815429E-2</v>
      </c>
      <c r="L32" s="759">
        <f t="shared" si="2"/>
        <v>-1.951923191815429E-2</v>
      </c>
      <c r="M32" s="759">
        <f>L32</f>
        <v>-1.951923191815429E-2</v>
      </c>
      <c r="N32" s="397"/>
      <c r="O32" s="397"/>
    </row>
    <row r="33" spans="1:15">
      <c r="A33" s="354" t="s">
        <v>441</v>
      </c>
      <c r="B33" s="383"/>
      <c r="C33" s="427"/>
      <c r="D33" s="357"/>
      <c r="E33" s="357"/>
      <c r="F33" s="357"/>
      <c r="G33" s="357"/>
      <c r="H33" s="357"/>
      <c r="I33" s="357"/>
      <c r="J33" s="357" t="s">
        <v>306</v>
      </c>
      <c r="K33" s="357"/>
      <c r="L33" s="358"/>
      <c r="M33" s="382"/>
    </row>
    <row r="34" spans="1:15" ht="12" thickBot="1">
      <c r="A34" s="354"/>
      <c r="B34" s="383"/>
      <c r="C34" s="427"/>
      <c r="D34" s="357"/>
      <c r="E34" s="357"/>
      <c r="F34" s="357"/>
      <c r="G34" s="357"/>
      <c r="H34" s="357"/>
      <c r="I34" s="357"/>
      <c r="J34" s="357"/>
      <c r="K34" s="357"/>
      <c r="L34" s="358"/>
      <c r="M34" s="382"/>
    </row>
    <row r="35" spans="1:15" ht="12" thickBot="1">
      <c r="A35" s="378" t="s">
        <v>440</v>
      </c>
      <c r="B35" s="409" t="s">
        <v>311</v>
      </c>
      <c r="C35" s="382">
        <v>0</v>
      </c>
      <c r="D35" s="349">
        <v>1</v>
      </c>
      <c r="E35" s="349">
        <v>2</v>
      </c>
      <c r="F35" s="349">
        <v>3</v>
      </c>
      <c r="G35" s="349">
        <v>4</v>
      </c>
      <c r="H35" s="349">
        <v>5</v>
      </c>
      <c r="I35" s="349">
        <v>6</v>
      </c>
      <c r="J35" s="349">
        <v>7</v>
      </c>
      <c r="K35" s="349">
        <v>8</v>
      </c>
      <c r="L35" s="349">
        <v>9</v>
      </c>
      <c r="M35" s="349">
        <v>10</v>
      </c>
    </row>
    <row r="36" spans="1:15" ht="22.5">
      <c r="A36" s="354" t="s">
        <v>439</v>
      </c>
      <c r="B36" s="383"/>
      <c r="C36" s="427"/>
      <c r="D36" s="357"/>
      <c r="E36" s="357"/>
      <c r="F36" s="357"/>
      <c r="G36" s="357"/>
      <c r="H36" s="357"/>
      <c r="I36" s="357"/>
      <c r="J36" s="357" t="s">
        <v>306</v>
      </c>
      <c r="K36" s="357"/>
      <c r="L36" s="358"/>
      <c r="M36" s="382"/>
    </row>
    <row r="37" spans="1:15" ht="22.5">
      <c r="A37" s="351" t="s">
        <v>438</v>
      </c>
      <c r="B37" s="383"/>
      <c r="C37" s="427"/>
      <c r="D37" s="427">
        <f>'ANTONIO ARAUJO &amp; CIA'!M128</f>
        <v>0.32004043467416948</v>
      </c>
      <c r="E37" s="428">
        <f t="shared" ref="E37:M41" si="3">D37</f>
        <v>0.32004043467416948</v>
      </c>
      <c r="F37" s="428">
        <f t="shared" si="3"/>
        <v>0.32004043467416948</v>
      </c>
      <c r="G37" s="428">
        <f t="shared" si="3"/>
        <v>0.32004043467416948</v>
      </c>
      <c r="H37" s="428">
        <f t="shared" si="3"/>
        <v>0.32004043467416948</v>
      </c>
      <c r="I37" s="428">
        <f t="shared" si="3"/>
        <v>0.32004043467416948</v>
      </c>
      <c r="J37" s="428">
        <f t="shared" si="3"/>
        <v>0.32004043467416948</v>
      </c>
      <c r="K37" s="428">
        <f t="shared" si="3"/>
        <v>0.32004043467416948</v>
      </c>
      <c r="L37" s="428">
        <f t="shared" si="3"/>
        <v>0.32004043467416948</v>
      </c>
      <c r="M37" s="428">
        <f>L37</f>
        <v>0.32004043467416948</v>
      </c>
      <c r="N37" s="399"/>
      <c r="O37" s="399"/>
    </row>
    <row r="38" spans="1:15" ht="22.5">
      <c r="A38" s="354" t="s">
        <v>437</v>
      </c>
      <c r="B38" s="383"/>
      <c r="C38" s="427"/>
      <c r="D38" s="427">
        <f>'ANTONIO ARAUJO &amp; CIA'!M131</f>
        <v>0.68055361866294029</v>
      </c>
      <c r="E38" s="356">
        <f t="shared" si="3"/>
        <v>0.68055361866294029</v>
      </c>
      <c r="F38" s="356">
        <f t="shared" si="3"/>
        <v>0.68055361866294029</v>
      </c>
      <c r="G38" s="356">
        <f t="shared" si="3"/>
        <v>0.68055361866294029</v>
      </c>
      <c r="H38" s="356">
        <f t="shared" si="3"/>
        <v>0.68055361866294029</v>
      </c>
      <c r="I38" s="356">
        <f t="shared" si="3"/>
        <v>0.68055361866294029</v>
      </c>
      <c r="J38" s="356">
        <f t="shared" si="3"/>
        <v>0.68055361866294029</v>
      </c>
      <c r="K38" s="356">
        <f t="shared" si="3"/>
        <v>0.68055361866294029</v>
      </c>
      <c r="L38" s="356">
        <f t="shared" si="3"/>
        <v>0.68055361866294029</v>
      </c>
      <c r="M38" s="356">
        <f>L38</f>
        <v>0.68055361866294029</v>
      </c>
      <c r="N38" s="395"/>
      <c r="O38" s="395"/>
    </row>
    <row r="39" spans="1:15" ht="22.5">
      <c r="A39" s="351" t="s">
        <v>436</v>
      </c>
      <c r="B39" s="383"/>
      <c r="C39" s="427"/>
      <c r="D39" s="427">
        <f>'ANTONIO ARAUJO &amp; CIA'!M130</f>
        <v>0.32130456683931968</v>
      </c>
      <c r="E39" s="429">
        <f t="shared" si="3"/>
        <v>0.32130456683931968</v>
      </c>
      <c r="F39" s="429">
        <f t="shared" si="3"/>
        <v>0.32130456683931968</v>
      </c>
      <c r="G39" s="429">
        <f t="shared" si="3"/>
        <v>0.32130456683931968</v>
      </c>
      <c r="H39" s="429">
        <f t="shared" si="3"/>
        <v>0.32130456683931968</v>
      </c>
      <c r="I39" s="429">
        <f t="shared" si="3"/>
        <v>0.32130456683931968</v>
      </c>
      <c r="J39" s="429">
        <f t="shared" si="3"/>
        <v>0.32130456683931968</v>
      </c>
      <c r="K39" s="429">
        <f t="shared" si="3"/>
        <v>0.32130456683931968</v>
      </c>
      <c r="L39" s="429">
        <f t="shared" si="3"/>
        <v>0.32130456683931968</v>
      </c>
      <c r="M39" s="429">
        <f>L39</f>
        <v>0.32130456683931968</v>
      </c>
      <c r="N39" s="400"/>
      <c r="O39" s="400"/>
    </row>
    <row r="40" spans="1:15">
      <c r="A40" s="354" t="s">
        <v>435</v>
      </c>
      <c r="B40" s="383"/>
      <c r="C40" s="427"/>
      <c r="D40" s="427">
        <f>'ANTONIO ARAUJO &amp; CIA'!M123</f>
        <v>0.27306122502252372</v>
      </c>
      <c r="E40" s="429">
        <f t="shared" si="3"/>
        <v>0.27306122502252372</v>
      </c>
      <c r="F40" s="429">
        <f t="shared" si="3"/>
        <v>0.27306122502252372</v>
      </c>
      <c r="G40" s="429">
        <f t="shared" si="3"/>
        <v>0.27306122502252372</v>
      </c>
      <c r="H40" s="429">
        <f t="shared" si="3"/>
        <v>0.27306122502252372</v>
      </c>
      <c r="I40" s="429">
        <f t="shared" si="3"/>
        <v>0.27306122502252372</v>
      </c>
      <c r="J40" s="429">
        <f t="shared" si="3"/>
        <v>0.27306122502252372</v>
      </c>
      <c r="K40" s="429">
        <f t="shared" si="3"/>
        <v>0.27306122502252372</v>
      </c>
      <c r="L40" s="429">
        <f t="shared" si="3"/>
        <v>0.27306122502252372</v>
      </c>
      <c r="M40" s="429">
        <f t="shared" si="3"/>
        <v>0.27306122502252372</v>
      </c>
      <c r="N40" s="400"/>
      <c r="O40" s="400"/>
    </row>
    <row r="41" spans="1:15" ht="22.5">
      <c r="A41" s="354" t="s">
        <v>434</v>
      </c>
      <c r="B41" s="383"/>
      <c r="C41" s="427"/>
      <c r="D41" s="427">
        <f>'ANTONIO ARAUJO &amp; CIA'!M129</f>
        <v>2.5799407091211715E-2</v>
      </c>
      <c r="E41" s="430">
        <f t="shared" si="3"/>
        <v>2.5799407091211715E-2</v>
      </c>
      <c r="F41" s="429">
        <f t="shared" si="3"/>
        <v>2.5799407091211715E-2</v>
      </c>
      <c r="G41" s="429">
        <f t="shared" si="3"/>
        <v>2.5799407091211715E-2</v>
      </c>
      <c r="H41" s="429">
        <f t="shared" si="3"/>
        <v>2.5799407091211715E-2</v>
      </c>
      <c r="I41" s="429">
        <f t="shared" si="3"/>
        <v>2.5799407091211715E-2</v>
      </c>
      <c r="J41" s="429">
        <f t="shared" si="3"/>
        <v>2.5799407091211715E-2</v>
      </c>
      <c r="K41" s="429">
        <f t="shared" si="3"/>
        <v>2.5799407091211715E-2</v>
      </c>
      <c r="L41" s="429">
        <f t="shared" si="3"/>
        <v>2.5799407091211715E-2</v>
      </c>
      <c r="M41" s="429">
        <f>L41</f>
        <v>2.5799407091211715E-2</v>
      </c>
      <c r="N41" s="400"/>
      <c r="O41" s="400"/>
    </row>
    <row r="42" spans="1:15">
      <c r="A42" s="397"/>
      <c r="B42" s="383"/>
      <c r="C42" s="427"/>
      <c r="D42" s="420"/>
      <c r="E42" s="420"/>
      <c r="F42" s="420"/>
      <c r="G42" s="420"/>
      <c r="H42" s="420"/>
      <c r="I42" s="420"/>
      <c r="J42" s="420"/>
      <c r="K42" s="357"/>
      <c r="L42" s="382"/>
      <c r="M42" s="382"/>
    </row>
    <row r="43" spans="1:15">
      <c r="A43" s="354" t="s">
        <v>433</v>
      </c>
      <c r="B43" s="383"/>
      <c r="C43" s="417"/>
      <c r="D43" s="420"/>
      <c r="E43" s="420"/>
      <c r="F43" s="420"/>
      <c r="G43" s="420"/>
      <c r="H43" s="420"/>
      <c r="I43" s="420"/>
      <c r="J43" s="420"/>
      <c r="K43" s="357"/>
      <c r="L43" s="382"/>
      <c r="M43" s="382"/>
    </row>
    <row r="44" spans="1:15">
      <c r="A44" s="354" t="s">
        <v>432</v>
      </c>
      <c r="B44" s="383"/>
      <c r="C44" s="427"/>
      <c r="D44" s="382"/>
      <c r="E44" s="379"/>
      <c r="F44" s="379"/>
      <c r="G44" s="379"/>
      <c r="H44" s="379"/>
      <c r="I44" s="379"/>
      <c r="J44" s="379"/>
      <c r="K44" s="357"/>
      <c r="L44" s="382"/>
      <c r="M44" s="382"/>
    </row>
    <row r="45" spans="1:15">
      <c r="A45" s="354" t="s">
        <v>431</v>
      </c>
      <c r="B45" s="383"/>
      <c r="C45" s="382"/>
      <c r="D45" s="382"/>
      <c r="E45" s="382"/>
      <c r="F45" s="382"/>
      <c r="G45" s="382"/>
      <c r="H45" s="382"/>
      <c r="I45" s="382"/>
      <c r="J45" s="382"/>
      <c r="K45" s="357"/>
      <c r="L45" s="382"/>
      <c r="M45" s="382"/>
    </row>
    <row r="46" spans="1:15">
      <c r="A46" s="354" t="s">
        <v>430</v>
      </c>
      <c r="B46" s="383"/>
      <c r="C46" s="348"/>
      <c r="D46" s="348"/>
      <c r="E46" s="348"/>
      <c r="F46" s="382"/>
      <c r="G46" s="382"/>
      <c r="H46" s="382"/>
      <c r="I46" s="382"/>
      <c r="J46" s="382"/>
      <c r="K46" s="357"/>
      <c r="L46" s="382"/>
      <c r="M46" s="382"/>
    </row>
    <row r="47" spans="1:15" ht="22.5">
      <c r="A47" s="354" t="s">
        <v>429</v>
      </c>
      <c r="B47" s="383"/>
      <c r="C47" s="348"/>
      <c r="D47" s="348"/>
      <c r="E47" s="348"/>
      <c r="F47" s="382"/>
      <c r="G47" s="382"/>
      <c r="H47" s="382"/>
      <c r="I47" s="382"/>
      <c r="J47" s="382"/>
      <c r="K47" s="357"/>
      <c r="L47" s="382"/>
      <c r="M47" s="382"/>
    </row>
    <row r="48" spans="1:15" ht="33.75">
      <c r="A48" s="354" t="s">
        <v>428</v>
      </c>
      <c r="C48" s="427"/>
      <c r="D48" s="424"/>
      <c r="E48" s="424"/>
      <c r="F48" s="424"/>
      <c r="G48" s="424"/>
      <c r="H48" s="424"/>
      <c r="I48" s="424"/>
      <c r="J48" s="424"/>
      <c r="K48" s="357"/>
      <c r="L48" s="382"/>
      <c r="M48" s="382"/>
    </row>
    <row r="49" spans="1:15" ht="12" thickBot="1">
      <c r="A49" s="354"/>
      <c r="C49" s="427"/>
      <c r="D49" s="424"/>
      <c r="E49" s="424"/>
      <c r="F49" s="424"/>
      <c r="G49" s="424"/>
      <c r="H49" s="424"/>
      <c r="I49" s="424"/>
      <c r="J49" s="424"/>
      <c r="K49" s="357"/>
      <c r="L49" s="382"/>
      <c r="M49" s="382"/>
    </row>
    <row r="50" spans="1:15" ht="23.25" thickBot="1">
      <c r="A50" s="378" t="s">
        <v>427</v>
      </c>
      <c r="B50" s="409" t="s">
        <v>311</v>
      </c>
      <c r="C50" s="382">
        <v>0</v>
      </c>
      <c r="D50" s="348">
        <v>1</v>
      </c>
      <c r="E50" s="348">
        <v>2</v>
      </c>
      <c r="F50" s="348">
        <v>3</v>
      </c>
      <c r="G50" s="348">
        <v>4</v>
      </c>
      <c r="H50" s="348">
        <v>5</v>
      </c>
      <c r="I50" s="348">
        <v>6</v>
      </c>
      <c r="J50" s="348">
        <v>7</v>
      </c>
      <c r="K50" s="349">
        <v>8</v>
      </c>
      <c r="L50" s="349">
        <v>9</v>
      </c>
      <c r="M50" s="349">
        <v>10</v>
      </c>
    </row>
    <row r="51" spans="1:15" ht="22.5">
      <c r="A51" s="354" t="s">
        <v>426</v>
      </c>
      <c r="B51" s="383"/>
      <c r="C51" s="348"/>
      <c r="D51" s="427">
        <f>(1+D$22)*(1+D23)-1</f>
        <v>8.9896487664647973E-2</v>
      </c>
      <c r="E51" s="427">
        <f>(1+E$22)*(1+E23)-1</f>
        <v>8.9896487664647973E-2</v>
      </c>
      <c r="F51" s="427">
        <f>(1+F$22)*(1+F23)-1</f>
        <v>8.9581017602127444E-2</v>
      </c>
      <c r="G51" s="427">
        <f>(1+G$22)*(1+G23)-1</f>
        <v>8.8371715695798603E-2</v>
      </c>
      <c r="H51" s="427">
        <f>(1+H$22)*(1+H23)-1</f>
        <v>8.8371715695798603E-2</v>
      </c>
      <c r="I51" s="427">
        <f t="shared" ref="I51:M51" si="4">(1+I$22)*(1+I23)-1</f>
        <v>8.3113881320456828E-2</v>
      </c>
      <c r="J51" s="427">
        <f t="shared" si="4"/>
        <v>8.3113881320456828E-2</v>
      </c>
      <c r="K51" s="427">
        <f t="shared" si="4"/>
        <v>8.3113881320456828E-2</v>
      </c>
      <c r="L51" s="427">
        <f t="shared" si="4"/>
        <v>8.3113881320456828E-2</v>
      </c>
      <c r="M51" s="427">
        <f t="shared" si="4"/>
        <v>8.3113881320456828E-2</v>
      </c>
      <c r="N51" s="397"/>
      <c r="O51" s="397"/>
    </row>
    <row r="52" spans="1:15">
      <c r="A52" s="351" t="s">
        <v>1195</v>
      </c>
      <c r="B52" s="383"/>
      <c r="C52" s="348"/>
      <c r="D52" s="427">
        <f>(1+D$22)*(1+D26)-1</f>
        <v>5.3813124231200993E-2</v>
      </c>
      <c r="E52" s="427">
        <f>D52</f>
        <v>5.3813124231200993E-2</v>
      </c>
      <c r="F52" s="427">
        <f t="shared" ref="F52:L52" si="5">E52</f>
        <v>5.3813124231200993E-2</v>
      </c>
      <c r="G52" s="427">
        <f t="shared" si="5"/>
        <v>5.3813124231200993E-2</v>
      </c>
      <c r="H52" s="427">
        <f t="shared" si="5"/>
        <v>5.3813124231200993E-2</v>
      </c>
      <c r="I52" s="427">
        <f t="shared" si="5"/>
        <v>5.3813124231200993E-2</v>
      </c>
      <c r="J52" s="427">
        <f t="shared" si="5"/>
        <v>5.3813124231200993E-2</v>
      </c>
      <c r="K52" s="427">
        <f t="shared" si="5"/>
        <v>5.3813124231200993E-2</v>
      </c>
      <c r="L52" s="427">
        <f t="shared" si="5"/>
        <v>5.3813124231200993E-2</v>
      </c>
      <c r="M52" s="427">
        <f>L52</f>
        <v>5.3813124231200993E-2</v>
      </c>
      <c r="N52" s="397"/>
      <c r="O52" s="397"/>
    </row>
    <row r="53" spans="1:15" ht="22.5">
      <c r="A53" s="354" t="s">
        <v>425</v>
      </c>
      <c r="B53" s="383"/>
      <c r="C53" s="348"/>
      <c r="D53" s="427">
        <f>(1+D$22)*(1+D24)-1</f>
        <v>6.443359811449012E-2</v>
      </c>
      <c r="E53" s="427">
        <f t="shared" ref="E53:M54" si="6">(1+E$22)*(1+E24)-1</f>
        <v>6.443359811449012E-2</v>
      </c>
      <c r="F53" s="427">
        <f t="shared" si="6"/>
        <v>6.4125498274232973E-2</v>
      </c>
      <c r="G53" s="427">
        <f t="shared" si="6"/>
        <v>6.294444888658135E-2</v>
      </c>
      <c r="H53" s="427">
        <f t="shared" si="6"/>
        <v>6.294444888658135E-2</v>
      </c>
      <c r="I53" s="427">
        <f t="shared" si="6"/>
        <v>5.7809451548965107E-2</v>
      </c>
      <c r="J53" s="427">
        <f t="shared" si="6"/>
        <v>5.7809451548965107E-2</v>
      </c>
      <c r="K53" s="427">
        <f t="shared" si="6"/>
        <v>5.7809451548965107E-2</v>
      </c>
      <c r="L53" s="427">
        <f t="shared" si="6"/>
        <v>5.7809451548965107E-2</v>
      </c>
      <c r="M53" s="427">
        <f t="shared" si="6"/>
        <v>5.7809451548965107E-2</v>
      </c>
      <c r="N53" s="397"/>
      <c r="O53" s="397"/>
    </row>
    <row r="54" spans="1:15" ht="22.5">
      <c r="A54" s="354" t="s">
        <v>424</v>
      </c>
      <c r="B54" s="383"/>
      <c r="C54" s="348"/>
      <c r="D54" s="427">
        <f>(1+D$22)*(1+D25)-1</f>
        <v>6.3029494338278091E-2</v>
      </c>
      <c r="E54" s="427">
        <f t="shared" si="6"/>
        <v>6.3029494338278091E-2</v>
      </c>
      <c r="F54" s="427">
        <f t="shared" si="6"/>
        <v>6.2721800915245929E-2</v>
      </c>
      <c r="G54" s="427">
        <f t="shared" si="6"/>
        <v>6.1542309460290046E-2</v>
      </c>
      <c r="H54" s="427">
        <f t="shared" si="6"/>
        <v>6.1542309460290046E-2</v>
      </c>
      <c r="I54" s="427">
        <f t="shared" si="6"/>
        <v>5.6414085743090814E-2</v>
      </c>
      <c r="J54" s="427">
        <f t="shared" si="6"/>
        <v>5.6414085743090814E-2</v>
      </c>
      <c r="K54" s="427">
        <f t="shared" si="6"/>
        <v>5.6414085743090814E-2</v>
      </c>
      <c r="L54" s="427">
        <f t="shared" si="6"/>
        <v>5.6414085743090814E-2</v>
      </c>
      <c r="M54" s="427">
        <f t="shared" si="6"/>
        <v>5.6414085743090814E-2</v>
      </c>
      <c r="N54" s="397"/>
      <c r="O54" s="397"/>
    </row>
    <row r="55" spans="1:15" ht="22.5">
      <c r="A55" s="351" t="s">
        <v>423</v>
      </c>
      <c r="B55" s="383"/>
      <c r="C55" s="349"/>
      <c r="D55" s="427">
        <f>(1+D$22)*(1+D27)-1</f>
        <v>6.5150021099408928E-2</v>
      </c>
      <c r="E55" s="427">
        <f t="shared" ref="E55:M55" si="7">(1+E$22)*(1+E27)-1</f>
        <v>6.5150021099408928E-2</v>
      </c>
      <c r="F55" s="427">
        <f t="shared" si="7"/>
        <v>6.4841713890831487E-2</v>
      </c>
      <c r="G55" s="427">
        <f t="shared" si="7"/>
        <v>6.3659869591285556E-2</v>
      </c>
      <c r="H55" s="427">
        <f t="shared" si="7"/>
        <v>6.3659869591285556E-2</v>
      </c>
      <c r="I55" s="427">
        <f t="shared" si="7"/>
        <v>5.8521416114999392E-2</v>
      </c>
      <c r="J55" s="427">
        <f t="shared" si="7"/>
        <v>5.8521416114999392E-2</v>
      </c>
      <c r="K55" s="427">
        <f t="shared" si="7"/>
        <v>5.8521416114999392E-2</v>
      </c>
      <c r="L55" s="427">
        <f t="shared" si="7"/>
        <v>5.8521416114999392E-2</v>
      </c>
      <c r="M55" s="427">
        <f t="shared" si="7"/>
        <v>5.8521416114999392E-2</v>
      </c>
      <c r="N55" s="397"/>
      <c r="O55" s="397"/>
    </row>
    <row r="56" spans="1:15" ht="22.5">
      <c r="A56" s="354" t="s">
        <v>422</v>
      </c>
      <c r="B56" s="383"/>
      <c r="C56" s="349"/>
      <c r="D56" s="427"/>
      <c r="E56" s="427"/>
      <c r="F56" s="427"/>
      <c r="G56" s="427"/>
      <c r="H56" s="427"/>
      <c r="I56" s="427"/>
      <c r="J56" s="427"/>
      <c r="K56" s="358"/>
      <c r="L56" s="382"/>
      <c r="M56" s="382"/>
    </row>
    <row r="57" spans="1:15">
      <c r="A57" s="354" t="s">
        <v>421</v>
      </c>
      <c r="B57" s="383"/>
      <c r="C57" s="427"/>
      <c r="D57" s="431"/>
      <c r="E57" s="431"/>
      <c r="F57" s="431"/>
      <c r="G57" s="431"/>
      <c r="H57" s="431"/>
      <c r="I57" s="431"/>
      <c r="J57" s="431"/>
      <c r="K57" s="358"/>
      <c r="L57" s="358"/>
      <c r="M57" s="382"/>
    </row>
    <row r="58" spans="1:15" ht="12" thickBot="1">
      <c r="A58" s="351"/>
      <c r="B58" s="383"/>
      <c r="C58" s="427"/>
      <c r="D58" s="359"/>
      <c r="E58" s="359"/>
      <c r="F58" s="348"/>
      <c r="G58" s="379"/>
      <c r="H58" s="382"/>
      <c r="I58" s="382" t="s">
        <v>306</v>
      </c>
      <c r="J58" s="382"/>
      <c r="K58" s="358"/>
      <c r="L58" s="358"/>
      <c r="M58" s="382"/>
    </row>
    <row r="59" spans="1:15" ht="23.25" thickBot="1">
      <c r="A59" s="378" t="s">
        <v>420</v>
      </c>
      <c r="B59" s="383"/>
      <c r="C59" s="427"/>
      <c r="D59" s="359"/>
      <c r="E59" s="359"/>
      <c r="F59" s="348"/>
      <c r="G59" s="379"/>
      <c r="H59" s="382"/>
      <c r="I59" s="382" t="s">
        <v>306</v>
      </c>
      <c r="J59" s="382"/>
      <c r="K59" s="358"/>
      <c r="L59" s="358"/>
      <c r="M59" s="382"/>
    </row>
    <row r="60" spans="1:15">
      <c r="A60" s="354" t="s">
        <v>419</v>
      </c>
      <c r="B60" s="383"/>
      <c r="C60" s="427"/>
      <c r="D60" s="421"/>
      <c r="E60" s="421"/>
      <c r="F60" s="421"/>
      <c r="G60" s="421"/>
      <c r="H60" s="421"/>
      <c r="I60" s="421"/>
      <c r="J60" s="421"/>
      <c r="K60" s="358"/>
      <c r="L60" s="358"/>
      <c r="M60" s="382"/>
    </row>
    <row r="61" spans="1:15">
      <c r="A61" s="354" t="s">
        <v>418</v>
      </c>
      <c r="B61" s="383"/>
      <c r="C61" s="427"/>
      <c r="D61" s="421"/>
      <c r="E61" s="421"/>
      <c r="F61" s="421"/>
      <c r="G61" s="421"/>
      <c r="H61" s="421"/>
      <c r="I61" s="421"/>
      <c r="J61" s="421"/>
      <c r="K61" s="358"/>
      <c r="L61" s="358"/>
      <c r="M61" s="382"/>
    </row>
    <row r="62" spans="1:15">
      <c r="A62" s="354" t="s">
        <v>417</v>
      </c>
      <c r="B62" s="383"/>
      <c r="C62" s="432"/>
      <c r="D62" s="415">
        <f>ANEXOS!O5</f>
        <v>5418193.3153418154</v>
      </c>
      <c r="E62" s="415">
        <f>ANEXOS!O6</f>
        <v>6284137.5341970166</v>
      </c>
      <c r="F62" s="415">
        <f>ANEXOS!O7</f>
        <v>7286368.6798237655</v>
      </c>
      <c r="G62" s="415">
        <f>ANEXOS!O8</f>
        <v>8439064.7935961038</v>
      </c>
      <c r="H62" s="415">
        <f>ANEXOS!O9</f>
        <v>9774116.2600951176</v>
      </c>
      <c r="I62" s="415">
        <f>ANEXOS!O10</f>
        <v>11265683.725562723</v>
      </c>
      <c r="J62" s="415">
        <f>ANEXOS!O11</f>
        <v>12984870.082072638</v>
      </c>
      <c r="K62" s="416">
        <f>ANEXOS!O12</f>
        <v>14966410.841600575</v>
      </c>
      <c r="L62" s="416">
        <f>ANEXOS!O13</f>
        <v>17250342.287893381</v>
      </c>
      <c r="M62" s="416">
        <f>ANEXOS!O14</f>
        <v>19882810.394483246</v>
      </c>
    </row>
    <row r="63" spans="1:15">
      <c r="A63" s="386"/>
      <c r="C63" s="427"/>
      <c r="D63" s="359"/>
      <c r="E63" s="359"/>
      <c r="F63" s="382"/>
      <c r="G63" s="382"/>
      <c r="H63" s="382"/>
      <c r="I63" s="382" t="s">
        <v>306</v>
      </c>
      <c r="J63" s="382"/>
      <c r="K63" s="358"/>
      <c r="L63" s="433"/>
      <c r="M63" s="382"/>
    </row>
    <row r="64" spans="1:15">
      <c r="B64" s="409" t="s">
        <v>311</v>
      </c>
      <c r="C64" s="382">
        <v>0</v>
      </c>
      <c r="D64" s="348">
        <v>1</v>
      </c>
      <c r="E64" s="348">
        <v>2</v>
      </c>
      <c r="F64" s="348">
        <v>3</v>
      </c>
      <c r="G64" s="348">
        <v>4</v>
      </c>
      <c r="H64" s="348">
        <v>5</v>
      </c>
      <c r="I64" s="348">
        <v>6</v>
      </c>
      <c r="J64" s="348">
        <v>7</v>
      </c>
      <c r="K64" s="349">
        <v>8</v>
      </c>
      <c r="L64" s="349">
        <v>9</v>
      </c>
      <c r="M64" s="349">
        <v>10</v>
      </c>
    </row>
    <row r="65" spans="1:15" ht="40.5" customHeight="1">
      <c r="A65" s="354" t="s">
        <v>416</v>
      </c>
      <c r="B65" s="383"/>
      <c r="C65" s="427"/>
      <c r="D65" s="434"/>
      <c r="E65" s="434"/>
      <c r="F65" s="434"/>
      <c r="G65" s="434"/>
      <c r="H65" s="434"/>
      <c r="I65" s="434"/>
      <c r="J65" s="434"/>
      <c r="K65" s="358"/>
      <c r="L65" s="358"/>
      <c r="M65" s="382"/>
    </row>
    <row r="66" spans="1:15">
      <c r="A66" s="354" t="s">
        <v>415</v>
      </c>
      <c r="B66" s="383"/>
      <c r="C66" s="427"/>
      <c r="D66" s="434"/>
      <c r="E66" s="434"/>
      <c r="F66" s="434"/>
      <c r="G66" s="434"/>
      <c r="H66" s="434"/>
      <c r="I66" s="434"/>
      <c r="J66" s="434"/>
      <c r="K66" s="358"/>
      <c r="L66" s="433"/>
      <c r="M66" s="382"/>
    </row>
    <row r="67" spans="1:15">
      <c r="A67" s="354" t="s">
        <v>414</v>
      </c>
      <c r="B67" s="383"/>
      <c r="C67" s="427"/>
      <c r="D67" s="419">
        <f>((1+D22)*(1+D30)-1)</f>
        <v>0.12521913495185233</v>
      </c>
      <c r="E67" s="419">
        <f>((1+E22)*(1+E30)-1)</f>
        <v>0.12521913495185233</v>
      </c>
      <c r="F67" s="419">
        <f>((1+F22)*(1+F30)-1)</f>
        <v>0.12489344076449571</v>
      </c>
      <c r="G67" s="419">
        <f>((1+G22)*(1+G30)-1)</f>
        <v>0.12364494637962942</v>
      </c>
      <c r="H67" s="419">
        <f>((1+H22)*(1+H30)-1)</f>
        <v>0.12364494637962942</v>
      </c>
      <c r="I67" s="419">
        <f t="shared" ref="I67:L67" si="8">((1+I22)*(1+I30)-1)</f>
        <v>0.11821670992368949</v>
      </c>
      <c r="J67" s="419">
        <f t="shared" si="8"/>
        <v>0.11821670992368949</v>
      </c>
      <c r="K67" s="419">
        <f t="shared" si="8"/>
        <v>0.11821670992368949</v>
      </c>
      <c r="L67" s="419">
        <f t="shared" si="8"/>
        <v>0.11821670992368949</v>
      </c>
      <c r="M67" s="419">
        <f>((1+M22)*(1+M30)-1)</f>
        <v>0.11821670992368949</v>
      </c>
      <c r="N67" s="391"/>
      <c r="O67" s="391"/>
    </row>
    <row r="68" spans="1:15" ht="22.5">
      <c r="A68" s="354" t="s">
        <v>413</v>
      </c>
      <c r="B68" s="383"/>
      <c r="C68" s="427"/>
      <c r="D68" s="419">
        <f t="shared" ref="D68:M68" si="9">D67+D32</f>
        <v>0.10569990303369804</v>
      </c>
      <c r="E68" s="419">
        <f t="shared" si="9"/>
        <v>0.10569990303369804</v>
      </c>
      <c r="F68" s="419">
        <f t="shared" si="9"/>
        <v>0.10537420884634142</v>
      </c>
      <c r="G68" s="419">
        <f t="shared" si="9"/>
        <v>0.10412571446147513</v>
      </c>
      <c r="H68" s="419">
        <f t="shared" si="9"/>
        <v>0.10412571446147513</v>
      </c>
      <c r="I68" s="419">
        <f t="shared" si="9"/>
        <v>9.8697478005535202E-2</v>
      </c>
      <c r="J68" s="419">
        <f t="shared" si="9"/>
        <v>9.8697478005535202E-2</v>
      </c>
      <c r="K68" s="419">
        <f t="shared" si="9"/>
        <v>9.8697478005535202E-2</v>
      </c>
      <c r="L68" s="419">
        <f t="shared" si="9"/>
        <v>9.8697478005535202E-2</v>
      </c>
      <c r="M68" s="419">
        <f t="shared" si="9"/>
        <v>9.8697478005535202E-2</v>
      </c>
      <c r="N68" s="391"/>
      <c r="O68" s="391"/>
    </row>
    <row r="69" spans="1:15" ht="22.5">
      <c r="A69" s="354" t="s">
        <v>412</v>
      </c>
      <c r="B69" s="383"/>
      <c r="C69" s="427"/>
      <c r="D69" s="419">
        <f t="shared" ref="D69:M69" si="10">D67+D31</f>
        <v>0.15720716401538562</v>
      </c>
      <c r="E69" s="419">
        <f t="shared" si="10"/>
        <v>0.15720716401538562</v>
      </c>
      <c r="F69" s="419">
        <f t="shared" si="10"/>
        <v>0.156881469828029</v>
      </c>
      <c r="G69" s="419">
        <f t="shared" si="10"/>
        <v>0.15563297544316271</v>
      </c>
      <c r="H69" s="419">
        <f t="shared" si="10"/>
        <v>0.15563297544316271</v>
      </c>
      <c r="I69" s="419">
        <f t="shared" si="10"/>
        <v>0.15020473898722278</v>
      </c>
      <c r="J69" s="419">
        <f t="shared" si="10"/>
        <v>0.15020473898722278</v>
      </c>
      <c r="K69" s="419">
        <f t="shared" si="10"/>
        <v>0.15020473898722278</v>
      </c>
      <c r="L69" s="419">
        <f t="shared" si="10"/>
        <v>0.15020473898722278</v>
      </c>
      <c r="M69" s="419">
        <f t="shared" si="10"/>
        <v>0.15020473898722278</v>
      </c>
      <c r="N69" s="391"/>
      <c r="O69" s="391"/>
    </row>
    <row r="70" spans="1:15" ht="12" thickBot="1">
      <c r="A70" s="354" t="s">
        <v>411</v>
      </c>
      <c r="B70" s="383"/>
      <c r="C70" s="427"/>
      <c r="D70" s="434">
        <f t="shared" ref="D70:M70" si="11">D41*D62</f>
        <v>139786.17504138555</v>
      </c>
      <c r="E70" s="434">
        <f t="shared" si="11"/>
        <v>162127.02246191222</v>
      </c>
      <c r="F70" s="434">
        <f t="shared" si="11"/>
        <v>187983.99178742821</v>
      </c>
      <c r="G70" s="434">
        <f t="shared" si="11"/>
        <v>217722.86807909844</v>
      </c>
      <c r="H70" s="434">
        <f t="shared" si="11"/>
        <v>252166.4043510257</v>
      </c>
      <c r="I70" s="434">
        <f t="shared" si="11"/>
        <v>290647.96059663134</v>
      </c>
      <c r="J70" s="434">
        <f t="shared" si="11"/>
        <v>335001.94927388767</v>
      </c>
      <c r="K70" s="434">
        <f t="shared" si="11"/>
        <v>386124.52599677775</v>
      </c>
      <c r="L70" s="434">
        <f t="shared" si="11"/>
        <v>445048.60314810579</v>
      </c>
      <c r="M70" s="434">
        <f t="shared" si="11"/>
        <v>512964.71948464907</v>
      </c>
      <c r="N70" s="401"/>
      <c r="O70" s="401"/>
    </row>
    <row r="71" spans="1:15" ht="12" thickBot="1">
      <c r="A71" s="378" t="s">
        <v>410</v>
      </c>
      <c r="B71" s="383"/>
      <c r="C71" s="427"/>
      <c r="D71" s="359"/>
      <c r="E71" s="359"/>
      <c r="F71" s="382"/>
      <c r="G71" s="382"/>
      <c r="H71" s="382"/>
      <c r="I71" s="382" t="s">
        <v>306</v>
      </c>
      <c r="J71" s="382"/>
      <c r="K71" s="358"/>
      <c r="L71" s="358"/>
      <c r="M71" s="382"/>
    </row>
    <row r="72" spans="1:15">
      <c r="A72" s="351"/>
      <c r="B72" s="409" t="s">
        <v>311</v>
      </c>
      <c r="C72" s="382">
        <v>0</v>
      </c>
      <c r="D72" s="348">
        <v>1</v>
      </c>
      <c r="E72" s="348">
        <v>2</v>
      </c>
      <c r="F72" s="348">
        <v>3</v>
      </c>
      <c r="G72" s="348">
        <v>4</v>
      </c>
      <c r="H72" s="348">
        <v>5</v>
      </c>
      <c r="I72" s="348">
        <v>6</v>
      </c>
      <c r="J72" s="348">
        <v>7</v>
      </c>
      <c r="K72" s="349">
        <v>8</v>
      </c>
      <c r="L72" s="349">
        <v>9</v>
      </c>
      <c r="M72" s="349">
        <v>10</v>
      </c>
    </row>
    <row r="73" spans="1:15">
      <c r="A73" s="354" t="s">
        <v>409</v>
      </c>
      <c r="B73" s="383"/>
      <c r="C73" s="427"/>
      <c r="D73" s="434">
        <f>C88</f>
        <v>295941</v>
      </c>
      <c r="E73" s="434"/>
      <c r="F73" s="434"/>
      <c r="G73" s="434"/>
      <c r="H73" s="434"/>
      <c r="I73" s="434"/>
      <c r="J73" s="434"/>
      <c r="K73" s="358"/>
      <c r="L73" s="358"/>
      <c r="M73" s="382"/>
    </row>
    <row r="74" spans="1:15" ht="22.5">
      <c r="A74" s="354" t="s">
        <v>1161</v>
      </c>
      <c r="B74" s="383"/>
      <c r="C74" s="427"/>
      <c r="D74" s="434">
        <f>'ANTONIO ARAUJO &amp; CIA'!L153</f>
        <v>5300</v>
      </c>
      <c r="E74" s="434">
        <f>D74</f>
        <v>5300</v>
      </c>
      <c r="F74" s="434">
        <f>E74</f>
        <v>5300</v>
      </c>
      <c r="G74" s="434">
        <f t="shared" ref="G74" si="12">F74</f>
        <v>5300</v>
      </c>
      <c r="H74" s="434"/>
      <c r="I74" s="434"/>
      <c r="J74" s="434"/>
      <c r="K74" s="434"/>
      <c r="L74" s="434"/>
      <c r="M74" s="434"/>
      <c r="N74" s="401"/>
      <c r="O74" s="401"/>
    </row>
    <row r="75" spans="1:15">
      <c r="A75" s="351" t="s">
        <v>1217</v>
      </c>
      <c r="B75" s="383"/>
      <c r="C75" s="427"/>
      <c r="D75" s="417">
        <f>C87/C6</f>
        <v>667.4</v>
      </c>
      <c r="E75" s="434">
        <f>D75</f>
        <v>667.4</v>
      </c>
      <c r="F75" s="434">
        <f>E75</f>
        <v>667.4</v>
      </c>
      <c r="G75" s="434">
        <f t="shared" ref="G75:J77" si="13">F75</f>
        <v>667.4</v>
      </c>
      <c r="H75" s="434">
        <f t="shared" si="13"/>
        <v>667.4</v>
      </c>
      <c r="I75" s="434"/>
      <c r="J75" s="434"/>
      <c r="K75" s="434"/>
      <c r="L75" s="434"/>
      <c r="M75" s="434"/>
      <c r="N75" s="401"/>
      <c r="O75" s="401"/>
    </row>
    <row r="76" spans="1:15">
      <c r="A76" s="351" t="s">
        <v>1154</v>
      </c>
      <c r="C76" s="382"/>
      <c r="D76" s="382"/>
      <c r="E76" s="434">
        <f>D87/C6</f>
        <v>1193.48</v>
      </c>
      <c r="F76" s="434">
        <f>E76</f>
        <v>1193.48</v>
      </c>
      <c r="G76" s="434">
        <f t="shared" si="13"/>
        <v>1193.48</v>
      </c>
      <c r="H76" s="434">
        <f t="shared" si="13"/>
        <v>1193.48</v>
      </c>
      <c r="I76" s="434">
        <f t="shared" si="13"/>
        <v>1193.48</v>
      </c>
      <c r="J76" s="434"/>
      <c r="K76" s="434"/>
      <c r="L76" s="434"/>
      <c r="M76" s="434"/>
      <c r="N76" s="401"/>
      <c r="O76" s="401"/>
    </row>
    <row r="77" spans="1:15">
      <c r="A77" s="351" t="s">
        <v>1155</v>
      </c>
      <c r="B77" s="383"/>
      <c r="C77" s="427"/>
      <c r="D77" s="434"/>
      <c r="E77" s="382"/>
      <c r="F77" s="434">
        <f>E85/C6</f>
        <v>1432.1759999999999</v>
      </c>
      <c r="G77" s="434">
        <f t="shared" si="13"/>
        <v>1432.1759999999999</v>
      </c>
      <c r="H77" s="434">
        <f t="shared" si="13"/>
        <v>1432.1759999999999</v>
      </c>
      <c r="I77" s="434">
        <f t="shared" si="13"/>
        <v>1432.1759999999999</v>
      </c>
      <c r="J77" s="434">
        <f t="shared" si="13"/>
        <v>1432.1759999999999</v>
      </c>
      <c r="K77" s="434"/>
      <c r="L77" s="434"/>
      <c r="M77" s="434"/>
      <c r="N77" s="401"/>
      <c r="O77" s="401"/>
    </row>
    <row r="78" spans="1:15">
      <c r="A78" s="351" t="s">
        <v>1156</v>
      </c>
      <c r="B78" s="383"/>
      <c r="C78" s="427"/>
      <c r="D78" s="434"/>
      <c r="E78" s="434"/>
      <c r="F78" s="382"/>
      <c r="G78" s="434">
        <f>F85/C6</f>
        <v>1718.6111999999998</v>
      </c>
      <c r="H78" s="434">
        <f>G78</f>
        <v>1718.6111999999998</v>
      </c>
      <c r="I78" s="434">
        <f>H78</f>
        <v>1718.6111999999998</v>
      </c>
      <c r="J78" s="434">
        <f>I78</f>
        <v>1718.6111999999998</v>
      </c>
      <c r="K78" s="434">
        <f t="shared" ref="K78:K81" si="14">J78</f>
        <v>1718.6111999999998</v>
      </c>
      <c r="L78" s="434"/>
      <c r="M78" s="434"/>
      <c r="N78" s="401"/>
      <c r="O78" s="401"/>
    </row>
    <row r="79" spans="1:15">
      <c r="A79" s="351" t="s">
        <v>1157</v>
      </c>
      <c r="B79" s="383"/>
      <c r="C79" s="427"/>
      <c r="D79" s="434"/>
      <c r="E79" s="434"/>
      <c r="F79" s="434"/>
      <c r="G79" s="382"/>
      <c r="H79" s="434">
        <f>G85/C6</f>
        <v>2062.3334399999994</v>
      </c>
      <c r="I79" s="434">
        <f>H79</f>
        <v>2062.3334399999994</v>
      </c>
      <c r="J79" s="434">
        <f>I79</f>
        <v>2062.3334399999994</v>
      </c>
      <c r="K79" s="434">
        <f t="shared" si="14"/>
        <v>2062.3334399999994</v>
      </c>
      <c r="L79" s="434">
        <f t="shared" ref="L79:M82" si="15">K79</f>
        <v>2062.3334399999994</v>
      </c>
      <c r="M79" s="434"/>
      <c r="N79" s="401"/>
      <c r="O79" s="401"/>
    </row>
    <row r="80" spans="1:15">
      <c r="A80" s="351" t="s">
        <v>408</v>
      </c>
      <c r="B80" s="383"/>
      <c r="C80" s="427"/>
      <c r="D80" s="434"/>
      <c r="E80" s="434"/>
      <c r="F80" s="434"/>
      <c r="G80" s="434"/>
      <c r="H80" s="382"/>
      <c r="I80" s="434">
        <f>H85/C6</f>
        <v>1414.8001279999999</v>
      </c>
      <c r="J80" s="434">
        <f>I80</f>
        <v>1414.8001279999999</v>
      </c>
      <c r="K80" s="435">
        <f t="shared" si="14"/>
        <v>1414.8001279999999</v>
      </c>
      <c r="L80" s="435">
        <f t="shared" si="15"/>
        <v>1414.8001279999999</v>
      </c>
      <c r="M80" s="436">
        <f t="shared" si="15"/>
        <v>1414.8001279999999</v>
      </c>
      <c r="N80" s="401"/>
      <c r="O80" s="401"/>
    </row>
    <row r="81" spans="1:15">
      <c r="A81" s="351" t="s">
        <v>407</v>
      </c>
      <c r="B81" s="383"/>
      <c r="C81" s="427"/>
      <c r="D81" s="434"/>
      <c r="E81" s="434"/>
      <c r="F81" s="434"/>
      <c r="G81" s="434"/>
      <c r="H81" s="434"/>
      <c r="I81" s="382"/>
      <c r="J81" s="434">
        <f>I85/C6</f>
        <v>1564.2801535999999</v>
      </c>
      <c r="K81" s="435">
        <f t="shared" si="14"/>
        <v>1564.2801535999999</v>
      </c>
      <c r="L81" s="435">
        <f t="shared" si="15"/>
        <v>1564.2801535999999</v>
      </c>
      <c r="M81" s="436">
        <f t="shared" si="15"/>
        <v>1564.2801535999999</v>
      </c>
      <c r="N81" s="402"/>
      <c r="O81" s="402"/>
    </row>
    <row r="82" spans="1:15">
      <c r="A82" s="351" t="s">
        <v>406</v>
      </c>
      <c r="B82" s="383"/>
      <c r="C82" s="427"/>
      <c r="D82" s="434"/>
      <c r="E82" s="434"/>
      <c r="F82" s="434"/>
      <c r="G82" s="434"/>
      <c r="H82" s="434"/>
      <c r="I82" s="434"/>
      <c r="J82" s="382"/>
      <c r="K82" s="381">
        <f>J85/C6</f>
        <v>1638.4401843199998</v>
      </c>
      <c r="L82" s="381">
        <f t="shared" si="15"/>
        <v>1638.4401843199998</v>
      </c>
      <c r="M82" s="381">
        <f t="shared" si="15"/>
        <v>1638.4401843199998</v>
      </c>
      <c r="N82" s="402"/>
      <c r="O82" s="402"/>
    </row>
    <row r="83" spans="1:15">
      <c r="A83" s="351" t="s">
        <v>405</v>
      </c>
      <c r="B83" s="383"/>
      <c r="C83" s="427"/>
      <c r="D83" s="434"/>
      <c r="E83" s="434"/>
      <c r="F83" s="434"/>
      <c r="G83" s="434"/>
      <c r="H83" s="434"/>
      <c r="I83" s="434"/>
      <c r="J83" s="434"/>
      <c r="K83" s="435"/>
      <c r="L83" s="435">
        <f>K85/C6</f>
        <v>1679.6930211839997</v>
      </c>
      <c r="M83" s="381">
        <f>L83</f>
        <v>1679.6930211839997</v>
      </c>
      <c r="N83" s="402"/>
      <c r="O83" s="402"/>
    </row>
    <row r="84" spans="1:15">
      <c r="A84" s="351" t="s">
        <v>404</v>
      </c>
      <c r="B84" s="383"/>
      <c r="C84" s="427"/>
      <c r="D84" s="434"/>
      <c r="E84" s="434"/>
      <c r="F84" s="434"/>
      <c r="G84" s="434"/>
      <c r="H84" s="434"/>
      <c r="I84" s="434"/>
      <c r="J84" s="434"/>
      <c r="K84" s="435"/>
      <c r="L84" s="435"/>
      <c r="M84" s="381">
        <f>L85/C6</f>
        <v>1671.9093854207997</v>
      </c>
      <c r="N84" s="402"/>
      <c r="O84" s="402"/>
    </row>
    <row r="85" spans="1:15">
      <c r="A85" s="354" t="s">
        <v>403</v>
      </c>
      <c r="B85" s="383"/>
      <c r="C85" s="382"/>
      <c r="D85" s="434">
        <f>SUM(D74:D84)</f>
        <v>5967.4</v>
      </c>
      <c r="E85" s="434">
        <f t="shared" ref="E85:M85" si="16">SUM(E74:E84)</f>
        <v>7160.8799999999992</v>
      </c>
      <c r="F85" s="434">
        <f t="shared" si="16"/>
        <v>8593.0559999999987</v>
      </c>
      <c r="G85" s="434">
        <f t="shared" si="16"/>
        <v>10311.667199999998</v>
      </c>
      <c r="H85" s="434">
        <f t="shared" si="16"/>
        <v>7074.0006399999993</v>
      </c>
      <c r="I85" s="434">
        <f t="shared" si="16"/>
        <v>7821.4007679999995</v>
      </c>
      <c r="J85" s="434">
        <f t="shared" si="16"/>
        <v>8192.2009215999988</v>
      </c>
      <c r="K85" s="434">
        <f t="shared" si="16"/>
        <v>8398.4651059199987</v>
      </c>
      <c r="L85" s="434">
        <f t="shared" si="16"/>
        <v>8359.5469271039983</v>
      </c>
      <c r="M85" s="434">
        <f t="shared" si="16"/>
        <v>7969.1228725247984</v>
      </c>
      <c r="N85" s="401"/>
      <c r="O85" s="401"/>
    </row>
    <row r="86" spans="1:15">
      <c r="A86" s="354" t="s">
        <v>402</v>
      </c>
      <c r="B86" s="383"/>
      <c r="C86" s="437"/>
      <c r="D86" s="434">
        <f>D85+C86</f>
        <v>5967.4</v>
      </c>
      <c r="E86" s="434">
        <f>E85+D86</f>
        <v>13128.279999999999</v>
      </c>
      <c r="F86" s="434">
        <f>F85+E86</f>
        <v>21721.335999999996</v>
      </c>
      <c r="G86" s="434">
        <f>G85+F86</f>
        <v>32033.003199999992</v>
      </c>
      <c r="H86" s="434">
        <f>H85+G86</f>
        <v>39107.00383999999</v>
      </c>
      <c r="I86" s="434">
        <f t="shared" ref="I86:M86" si="17">I85+H86</f>
        <v>46928.40460799999</v>
      </c>
      <c r="J86" s="434">
        <f t="shared" si="17"/>
        <v>55120.60552959999</v>
      </c>
      <c r="K86" s="434">
        <f t="shared" si="17"/>
        <v>63519.070635519987</v>
      </c>
      <c r="L86" s="434">
        <f t="shared" si="17"/>
        <v>71878.617562623986</v>
      </c>
      <c r="M86" s="434">
        <f t="shared" si="17"/>
        <v>79847.740435148778</v>
      </c>
      <c r="N86" s="401"/>
      <c r="O86" s="401"/>
    </row>
    <row r="87" spans="1:15">
      <c r="A87" s="351" t="s">
        <v>1193</v>
      </c>
      <c r="B87" s="383"/>
      <c r="C87" s="432">
        <f>C5</f>
        <v>3337</v>
      </c>
      <c r="D87" s="434">
        <f>D66+D85</f>
        <v>5967.4</v>
      </c>
      <c r="E87" s="434">
        <f>E66+E85</f>
        <v>7160.8799999999992</v>
      </c>
      <c r="F87" s="434">
        <f>F66+F85</f>
        <v>8593.0559999999987</v>
      </c>
      <c r="G87" s="434">
        <f>G66+G85</f>
        <v>10311.667199999998</v>
      </c>
      <c r="H87" s="434">
        <f>H66+H85</f>
        <v>7074.0006399999993</v>
      </c>
      <c r="I87" s="434">
        <f>I85</f>
        <v>7821.4007679999995</v>
      </c>
      <c r="J87" s="434">
        <f t="shared" ref="J87:M87" si="18">J85</f>
        <v>8192.2009215999988</v>
      </c>
      <c r="K87" s="434">
        <f>K85</f>
        <v>8398.4651059199987</v>
      </c>
      <c r="L87" s="434">
        <f t="shared" si="18"/>
        <v>8359.5469271039983</v>
      </c>
      <c r="M87" s="434">
        <f t="shared" si="18"/>
        <v>7969.1228725247984</v>
      </c>
      <c r="N87" s="401"/>
      <c r="O87" s="401"/>
    </row>
    <row r="88" spans="1:15">
      <c r="A88" s="354" t="s">
        <v>401</v>
      </c>
      <c r="B88" s="383"/>
      <c r="C88" s="432">
        <f>C251</f>
        <v>295941</v>
      </c>
      <c r="D88" s="434">
        <f>C88+D85-D87</f>
        <v>295941</v>
      </c>
      <c r="E88" s="434">
        <f t="shared" ref="E88:M88" si="19">D88+E85-E87</f>
        <v>295941</v>
      </c>
      <c r="F88" s="434">
        <f t="shared" si="19"/>
        <v>295941</v>
      </c>
      <c r="G88" s="434">
        <f t="shared" si="19"/>
        <v>295941</v>
      </c>
      <c r="H88" s="434">
        <f t="shared" si="19"/>
        <v>295941</v>
      </c>
      <c r="I88" s="434">
        <f t="shared" si="19"/>
        <v>295941</v>
      </c>
      <c r="J88" s="434">
        <f t="shared" si="19"/>
        <v>295941</v>
      </c>
      <c r="K88" s="434">
        <f t="shared" si="19"/>
        <v>295941</v>
      </c>
      <c r="L88" s="434">
        <f t="shared" si="19"/>
        <v>295941</v>
      </c>
      <c r="M88" s="434">
        <f t="shared" si="19"/>
        <v>295941</v>
      </c>
      <c r="N88" s="401"/>
      <c r="O88" s="401"/>
    </row>
    <row r="89" spans="1:15" ht="12" thickBot="1">
      <c r="A89" s="351"/>
      <c r="B89" s="383"/>
      <c r="C89" s="421"/>
      <c r="D89" s="359"/>
      <c r="E89" s="359"/>
      <c r="F89" s="359"/>
      <c r="G89" s="359"/>
      <c r="H89" s="359"/>
      <c r="I89" s="359" t="s">
        <v>306</v>
      </c>
      <c r="J89" s="359"/>
      <c r="K89" s="358"/>
      <c r="L89" s="358"/>
      <c r="M89" s="382"/>
    </row>
    <row r="90" spans="1:15" ht="12" thickBot="1">
      <c r="A90" s="378" t="s">
        <v>400</v>
      </c>
      <c r="B90" s="452" t="s">
        <v>311</v>
      </c>
      <c r="C90" s="382">
        <v>0</v>
      </c>
      <c r="D90" s="348">
        <v>1</v>
      </c>
      <c r="E90" s="348">
        <v>2</v>
      </c>
      <c r="F90" s="348">
        <v>3</v>
      </c>
      <c r="G90" s="348">
        <v>4</v>
      </c>
      <c r="H90" s="348">
        <v>5</v>
      </c>
      <c r="I90" s="348">
        <v>6</v>
      </c>
      <c r="J90" s="348">
        <v>7</v>
      </c>
      <c r="K90" s="349">
        <v>8</v>
      </c>
      <c r="L90" s="349">
        <v>9</v>
      </c>
      <c r="M90" s="349">
        <v>10</v>
      </c>
    </row>
    <row r="91" spans="1:15" ht="22.5">
      <c r="A91" s="354" t="s">
        <v>399</v>
      </c>
    </row>
    <row r="92" spans="1:15">
      <c r="A92" s="354" t="s">
        <v>398</v>
      </c>
      <c r="B92" s="383"/>
      <c r="C92" s="427"/>
      <c r="D92" s="434"/>
      <c r="E92" s="434"/>
      <c r="F92" s="434"/>
      <c r="G92" s="434"/>
      <c r="H92" s="434"/>
      <c r="I92" s="434"/>
      <c r="J92" s="434"/>
      <c r="K92" s="358"/>
      <c r="L92" s="358"/>
      <c r="M92" s="382"/>
    </row>
    <row r="93" spans="1:15" ht="14.25" customHeight="1">
      <c r="A93" s="354" t="s">
        <v>397</v>
      </c>
      <c r="B93" s="383"/>
      <c r="C93" s="427"/>
      <c r="D93" s="434"/>
      <c r="E93" s="434"/>
      <c r="F93" s="434"/>
      <c r="G93" s="434"/>
      <c r="H93" s="434"/>
      <c r="I93" s="434"/>
      <c r="J93" s="434"/>
      <c r="K93" s="358"/>
      <c r="L93" s="358"/>
      <c r="M93" s="382"/>
    </row>
    <row r="94" spans="1:15" ht="23.25" customHeight="1">
      <c r="A94" s="354" t="s">
        <v>396</v>
      </c>
      <c r="B94" s="383"/>
      <c r="C94" s="427"/>
      <c r="D94" s="436"/>
      <c r="E94" s="434"/>
      <c r="F94" s="434"/>
      <c r="G94" s="434"/>
      <c r="H94" s="434"/>
      <c r="I94" s="434"/>
      <c r="J94" s="434"/>
      <c r="K94" s="358"/>
      <c r="L94" s="358"/>
      <c r="M94" s="382"/>
    </row>
    <row r="95" spans="1:15">
      <c r="A95" s="354" t="s">
        <v>395</v>
      </c>
      <c r="B95" s="383"/>
      <c r="C95" s="427"/>
      <c r="D95" s="434"/>
      <c r="E95" s="434"/>
      <c r="F95" s="434"/>
      <c r="G95" s="434"/>
      <c r="H95" s="434"/>
      <c r="I95" s="434"/>
      <c r="J95" s="434"/>
      <c r="K95" s="358"/>
      <c r="L95" s="358"/>
      <c r="M95" s="382"/>
    </row>
    <row r="96" spans="1:15" ht="14.25" customHeight="1">
      <c r="A96" s="354" t="s">
        <v>394</v>
      </c>
      <c r="B96" s="383"/>
      <c r="C96" s="427"/>
      <c r="D96" s="434"/>
      <c r="E96" s="434"/>
      <c r="F96" s="434"/>
      <c r="G96" s="434"/>
      <c r="H96" s="434"/>
      <c r="I96" s="434"/>
      <c r="J96" s="434"/>
      <c r="K96" s="358"/>
      <c r="L96" s="358"/>
      <c r="M96" s="382"/>
    </row>
    <row r="97" spans="1:16" ht="12" thickBot="1">
      <c r="A97" s="351"/>
      <c r="B97" s="383"/>
      <c r="C97" s="427"/>
      <c r="D97" s="359"/>
      <c r="E97" s="359"/>
      <c r="F97" s="348"/>
      <c r="G97" s="348"/>
      <c r="H97" s="382"/>
      <c r="I97" s="382" t="s">
        <v>306</v>
      </c>
      <c r="J97" s="382"/>
      <c r="K97" s="358"/>
      <c r="L97" s="358"/>
      <c r="M97" s="382"/>
    </row>
    <row r="98" spans="1:16" ht="23.25" thickBot="1">
      <c r="A98" s="378" t="s">
        <v>393</v>
      </c>
      <c r="B98" s="452" t="s">
        <v>311</v>
      </c>
      <c r="C98" s="382">
        <v>0</v>
      </c>
      <c r="D98" s="348">
        <v>1</v>
      </c>
      <c r="E98" s="348">
        <v>2</v>
      </c>
      <c r="F98" s="348">
        <v>3</v>
      </c>
      <c r="G98" s="348">
        <v>4</v>
      </c>
      <c r="H98" s="348">
        <v>5</v>
      </c>
      <c r="I98" s="348">
        <v>6</v>
      </c>
      <c r="J98" s="348">
        <v>7</v>
      </c>
      <c r="K98" s="349">
        <v>8</v>
      </c>
      <c r="L98" s="349">
        <v>9</v>
      </c>
      <c r="M98" s="349">
        <v>10</v>
      </c>
    </row>
    <row r="99" spans="1:16">
      <c r="A99" s="354" t="s">
        <v>1265</v>
      </c>
      <c r="B99" s="383"/>
      <c r="C99" s="382"/>
      <c r="D99" s="416">
        <f>'ANTONIO ARAUJO &amp; CIA'!L20</f>
        <v>727361</v>
      </c>
      <c r="E99" s="421">
        <f>D101</f>
        <v>1308150.9278783884</v>
      </c>
      <c r="F99" s="421">
        <f t="shared" ref="F99:H99" si="20">E101</f>
        <v>1517221.6766423413</v>
      </c>
      <c r="G99" s="421">
        <f t="shared" si="20"/>
        <v>1759197.0966385067</v>
      </c>
      <c r="H99" s="421">
        <f t="shared" si="20"/>
        <v>2037500.2879483148</v>
      </c>
      <c r="I99" s="421">
        <f>H101</f>
        <v>2359830.7610454918</v>
      </c>
      <c r="J99" s="421">
        <f>I101</f>
        <v>2719949.9466086538</v>
      </c>
      <c r="K99" s="421">
        <f>J101</f>
        <v>3135024.6950670211</v>
      </c>
      <c r="L99" s="421">
        <f t="shared" ref="L99:M99" si="21">K101</f>
        <v>3613441.435175857</v>
      </c>
      <c r="M99" s="421">
        <f t="shared" si="21"/>
        <v>4164866.3967435262</v>
      </c>
      <c r="N99" s="393"/>
      <c r="O99" s="393"/>
      <c r="P99" s="403"/>
    </row>
    <row r="100" spans="1:16">
      <c r="A100" s="351" t="s">
        <v>1190</v>
      </c>
      <c r="B100" s="383"/>
      <c r="C100" s="421"/>
      <c r="D100" s="421">
        <f>D102-D99+D101</f>
        <v>4668245.0933802286</v>
      </c>
      <c r="E100" s="421">
        <f t="shared" ref="E100:I100" si="22">E102-E99+E101</f>
        <v>4949789.4588451097</v>
      </c>
      <c r="F100" s="421">
        <f t="shared" si="22"/>
        <v>5738771.7808357906</v>
      </c>
      <c r="G100" s="421">
        <f t="shared" si="22"/>
        <v>6644687.1453332333</v>
      </c>
      <c r="H100" s="421">
        <f t="shared" si="22"/>
        <v>7695869.8930395842</v>
      </c>
      <c r="I100" s="421">
        <f t="shared" si="22"/>
        <v>8858888.8781422023</v>
      </c>
      <c r="J100" s="421">
        <f>J102-J99+J101</f>
        <v>10210789.150167525</v>
      </c>
      <c r="K100" s="421">
        <f>K102-K99+K101</f>
        <v>11768994.566172196</v>
      </c>
      <c r="L100" s="421">
        <f t="shared" ref="L100:M100" si="23">L102-L99+L101</f>
        <v>13564988.078939831</v>
      </c>
      <c r="M100" s="421">
        <f t="shared" si="23"/>
        <v>15635057.060072012</v>
      </c>
      <c r="N100" s="393"/>
      <c r="O100" s="393"/>
    </row>
    <row r="101" spans="1:16">
      <c r="A101" s="351" t="s">
        <v>1192</v>
      </c>
      <c r="B101" s="383"/>
      <c r="C101" s="421"/>
      <c r="D101" s="421">
        <f t="shared" ref="D101:M101" si="24">D37*D102</f>
        <v>1308150.9278783884</v>
      </c>
      <c r="E101" s="421">
        <f t="shared" si="24"/>
        <v>1517221.6766423413</v>
      </c>
      <c r="F101" s="421">
        <f t="shared" si="24"/>
        <v>1759197.0966385067</v>
      </c>
      <c r="G101" s="421">
        <f t="shared" si="24"/>
        <v>2037500.2879483148</v>
      </c>
      <c r="H101" s="421">
        <f t="shared" si="24"/>
        <v>2359830.7610454918</v>
      </c>
      <c r="I101" s="421">
        <f t="shared" si="24"/>
        <v>2719949.9466086538</v>
      </c>
      <c r="J101" s="421">
        <f t="shared" si="24"/>
        <v>3135024.6950670211</v>
      </c>
      <c r="K101" s="421">
        <f t="shared" si="24"/>
        <v>3613441.435175857</v>
      </c>
      <c r="L101" s="421">
        <f t="shared" si="24"/>
        <v>4164866.3967435262</v>
      </c>
      <c r="M101" s="421">
        <f t="shared" si="24"/>
        <v>4800440.9131593453</v>
      </c>
      <c r="N101" s="393"/>
      <c r="O101" s="393"/>
    </row>
    <row r="102" spans="1:16">
      <c r="A102" s="354" t="s">
        <v>392</v>
      </c>
      <c r="B102" s="383"/>
      <c r="C102" s="421"/>
      <c r="D102" s="421">
        <f>D62*'ANTONIO ARAUJO &amp; CIA'!$M$127</f>
        <v>4087455.1655018404</v>
      </c>
      <c r="E102" s="421">
        <f>E62*'ANTONIO ARAUJO &amp; CIA'!$M$127</f>
        <v>4740718.7100811563</v>
      </c>
      <c r="F102" s="421">
        <f>F62*'ANTONIO ARAUJO &amp; CIA'!$M$127</f>
        <v>5496796.3608396258</v>
      </c>
      <c r="G102" s="421">
        <f>G62*'ANTONIO ARAUJO &amp; CIA'!$M$127</f>
        <v>6366383.9540234255</v>
      </c>
      <c r="H102" s="421">
        <f>H62*'ANTONIO ARAUJO &amp; CIA'!$M$127</f>
        <v>7373539.4199424079</v>
      </c>
      <c r="I102" s="421">
        <f>I62*'ANTONIO ARAUJO &amp; CIA'!$M$127</f>
        <v>8498769.6925790403</v>
      </c>
      <c r="J102" s="421">
        <f>J62*'ANTONIO ARAUJO &amp; CIA'!$M$127</f>
        <v>9795714.401709158</v>
      </c>
      <c r="K102" s="421">
        <f>K62*'ANTONIO ARAUJO &amp; CIA'!$M$127</f>
        <v>11290577.826063359</v>
      </c>
      <c r="L102" s="421">
        <f>L62*'ANTONIO ARAUJO &amp; CIA'!$M$127</f>
        <v>13013563.117372161</v>
      </c>
      <c r="M102" s="421">
        <f>M62*'ANTONIO ARAUJO &amp; CIA'!$M$127</f>
        <v>14999482.543656193</v>
      </c>
      <c r="N102" s="393"/>
      <c r="O102" s="393"/>
    </row>
    <row r="103" spans="1:16">
      <c r="A103" s="351" t="s">
        <v>323</v>
      </c>
      <c r="B103" s="383"/>
      <c r="C103" s="421"/>
      <c r="D103" s="421">
        <f t="shared" ref="D103:M103" si="25">C224*(1+D$54)</f>
        <v>1577754.2375010818</v>
      </c>
      <c r="E103" s="421">
        <f t="shared" si="25"/>
        <v>1677199.2892808504</v>
      </c>
      <c r="F103" s="421">
        <f t="shared" si="25"/>
        <v>1782396.2491983159</v>
      </c>
      <c r="G103" s="421">
        <f t="shared" si="25"/>
        <v>1892089.0307473389</v>
      </c>
      <c r="H103" s="421">
        <f t="shared" si="25"/>
        <v>2008532.5594040118</v>
      </c>
      <c r="I103" s="421">
        <f t="shared" si="25"/>
        <v>2121842.0874280194</v>
      </c>
      <c r="J103" s="421">
        <f t="shared" si="25"/>
        <v>2241543.8688814826</v>
      </c>
      <c r="K103" s="421">
        <f t="shared" si="25"/>
        <v>2367998.5168974623</v>
      </c>
      <c r="L103" s="421">
        <f t="shared" si="25"/>
        <v>2501586.9882692276</v>
      </c>
      <c r="M103" s="421">
        <f t="shared" si="25"/>
        <v>2642711.7311192481</v>
      </c>
      <c r="N103" s="393"/>
      <c r="O103" s="393"/>
      <c r="P103" s="393"/>
    </row>
    <row r="104" spans="1:16">
      <c r="A104" s="354" t="s">
        <v>391</v>
      </c>
      <c r="B104" s="383"/>
      <c r="C104" s="427"/>
      <c r="D104" s="421"/>
      <c r="E104" s="421"/>
      <c r="F104" s="421"/>
      <c r="G104" s="421"/>
      <c r="H104" s="421"/>
      <c r="I104" s="421" t="s">
        <v>306</v>
      </c>
      <c r="J104" s="421"/>
      <c r="K104" s="358"/>
      <c r="L104" s="358"/>
      <c r="M104" s="382"/>
    </row>
    <row r="105" spans="1:16">
      <c r="A105" s="354" t="s">
        <v>390</v>
      </c>
      <c r="B105" s="383"/>
      <c r="C105" s="427"/>
      <c r="D105" s="421">
        <f>(D52+1)*ANEXOS!E92</f>
        <v>1564075.2501651088</v>
      </c>
      <c r="E105" s="421">
        <f t="shared" ref="E105:M105" si="26">(E52+1)*D105</f>
        <v>1648243.0259091905</v>
      </c>
      <c r="F105" s="421">
        <f t="shared" si="26"/>
        <v>1736940.1326256525</v>
      </c>
      <c r="G105" s="421">
        <f t="shared" si="26"/>
        <v>1830410.3077647954</v>
      </c>
      <c r="H105" s="421">
        <f t="shared" si="26"/>
        <v>1928910.4050506132</v>
      </c>
      <c r="I105" s="421">
        <f t="shared" si="26"/>
        <v>2032711.1003084581</v>
      </c>
      <c r="J105" s="421">
        <f t="shared" si="26"/>
        <v>2142097.6352754985</v>
      </c>
      <c r="K105" s="421">
        <f t="shared" si="26"/>
        <v>2257370.6014379407</v>
      </c>
      <c r="L105" s="421">
        <f t="shared" si="26"/>
        <v>2378846.7660489813</v>
      </c>
      <c r="M105" s="421">
        <f t="shared" si="26"/>
        <v>2506859.9425973659</v>
      </c>
      <c r="N105" s="393"/>
      <c r="O105" s="393"/>
    </row>
    <row r="106" spans="1:16">
      <c r="A106" s="354" t="s">
        <v>389</v>
      </c>
      <c r="B106" s="383"/>
      <c r="C106" s="427"/>
      <c r="D106" s="421"/>
      <c r="E106" s="421"/>
      <c r="F106" s="421"/>
      <c r="G106" s="421"/>
      <c r="H106" s="421"/>
      <c r="I106" s="421" t="s">
        <v>306</v>
      </c>
      <c r="J106" s="421"/>
      <c r="K106" s="358"/>
      <c r="L106" s="358"/>
      <c r="M106" s="382"/>
    </row>
    <row r="107" spans="1:16" ht="22.5">
      <c r="A107" s="354" t="s">
        <v>388</v>
      </c>
      <c r="B107" s="383"/>
      <c r="C107" s="427"/>
      <c r="D107" s="434">
        <f>C225*(1+D55)</f>
        <v>1726357.8739471836</v>
      </c>
      <c r="E107" s="434">
        <f t="shared" ref="E107:M107" si="27">D107*(1+E55)</f>
        <v>1838830.1258599733</v>
      </c>
      <c r="F107" s="434">
        <f t="shared" si="27"/>
        <v>1958063.0227748272</v>
      </c>
      <c r="G107" s="434">
        <f t="shared" si="27"/>
        <v>2082713.059456191</v>
      </c>
      <c r="H107" s="434">
        <f t="shared" si="27"/>
        <v>2215298.3012172394</v>
      </c>
      <c r="I107" s="434">
        <f t="shared" si="27"/>
        <v>2344940.6949216248</v>
      </c>
      <c r="J107" s="434">
        <f t="shared" si="27"/>
        <v>2482169.9450941291</v>
      </c>
      <c r="K107" s="434">
        <f t="shared" si="27"/>
        <v>2627430.0453191279</v>
      </c>
      <c r="L107" s="434">
        <f t="shared" si="27"/>
        <v>2781190.9723143</v>
      </c>
      <c r="M107" s="434">
        <f t="shared" si="27"/>
        <v>2943950.206500385</v>
      </c>
      <c r="N107" s="401"/>
      <c r="O107" s="401"/>
    </row>
    <row r="108" spans="1:16" ht="12" thickBot="1">
      <c r="A108" s="351"/>
      <c r="B108" s="383"/>
      <c r="C108" s="427"/>
      <c r="D108" s="359"/>
      <c r="E108" s="359"/>
      <c r="F108" s="348"/>
      <c r="G108" s="382"/>
      <c r="H108" s="382"/>
      <c r="I108" s="382" t="s">
        <v>306</v>
      </c>
      <c r="J108" s="382"/>
      <c r="K108" s="358"/>
      <c r="L108" s="358"/>
      <c r="M108" s="382"/>
    </row>
    <row r="109" spans="1:16" ht="12" thickBot="1">
      <c r="A109" s="378" t="s">
        <v>387</v>
      </c>
      <c r="B109" s="452" t="s">
        <v>311</v>
      </c>
      <c r="C109" s="382">
        <v>0</v>
      </c>
      <c r="D109" s="348">
        <v>1</v>
      </c>
      <c r="E109" s="348">
        <v>2</v>
      </c>
      <c r="F109" s="348">
        <v>3</v>
      </c>
      <c r="G109" s="348">
        <v>4</v>
      </c>
      <c r="H109" s="348">
        <v>5</v>
      </c>
      <c r="I109" s="348">
        <v>6</v>
      </c>
      <c r="J109" s="348">
        <v>7</v>
      </c>
      <c r="K109" s="349">
        <v>8</v>
      </c>
      <c r="L109" s="349">
        <v>9</v>
      </c>
      <c r="M109" s="349">
        <v>10</v>
      </c>
    </row>
    <row r="110" spans="1:16">
      <c r="A110" s="354" t="s">
        <v>386</v>
      </c>
      <c r="B110" s="383"/>
      <c r="C110" s="427"/>
      <c r="D110" s="421">
        <f t="shared" ref="D110:J110" si="28">D62</f>
        <v>5418193.3153418154</v>
      </c>
      <c r="E110" s="421">
        <f t="shared" si="28"/>
        <v>6284137.5341970166</v>
      </c>
      <c r="F110" s="421">
        <f t="shared" si="28"/>
        <v>7286368.6798237655</v>
      </c>
      <c r="G110" s="421">
        <f t="shared" si="28"/>
        <v>8439064.7935961038</v>
      </c>
      <c r="H110" s="421">
        <f t="shared" si="28"/>
        <v>9774116.2600951176</v>
      </c>
      <c r="I110" s="421">
        <f t="shared" si="28"/>
        <v>11265683.725562723</v>
      </c>
      <c r="J110" s="421">
        <f t="shared" si="28"/>
        <v>12984870.082072638</v>
      </c>
      <c r="K110" s="421">
        <f>K62</f>
        <v>14966410.841600575</v>
      </c>
      <c r="L110" s="421">
        <f t="shared" ref="L110:M110" si="29">L62</f>
        <v>17250342.287893381</v>
      </c>
      <c r="M110" s="421">
        <f t="shared" si="29"/>
        <v>19882810.394483246</v>
      </c>
      <c r="N110" s="393"/>
      <c r="O110" s="393"/>
    </row>
    <row r="111" spans="1:16" ht="22.5">
      <c r="A111" s="354" t="s">
        <v>385</v>
      </c>
      <c r="B111" s="383"/>
      <c r="C111" s="427"/>
      <c r="D111" s="421">
        <f t="shared" ref="D111:M111" si="30">D62*(1-D38)</f>
        <v>1730822.2479705894</v>
      </c>
      <c r="E111" s="421">
        <f t="shared" si="30"/>
        <v>2007444.9951236304</v>
      </c>
      <c r="F111" s="421">
        <f t="shared" si="30"/>
        <v>2327604.1078573908</v>
      </c>
      <c r="G111" s="421">
        <f t="shared" si="30"/>
        <v>2695828.7101832563</v>
      </c>
      <c r="H111" s="421">
        <f t="shared" si="30"/>
        <v>3122306.0700551011</v>
      </c>
      <c r="I111" s="421">
        <f t="shared" si="30"/>
        <v>3598781.8994188174</v>
      </c>
      <c r="J111" s="421">
        <f t="shared" si="30"/>
        <v>4147969.7598499539</v>
      </c>
      <c r="K111" s="421">
        <f t="shared" si="30"/>
        <v>4780965.7849530419</v>
      </c>
      <c r="L111" s="421">
        <f t="shared" si="30"/>
        <v>5510559.4206931964</v>
      </c>
      <c r="M111" s="421">
        <f t="shared" si="30"/>
        <v>6351491.8313285494</v>
      </c>
      <c r="N111" s="393"/>
      <c r="O111" s="393"/>
    </row>
    <row r="112" spans="1:16">
      <c r="A112" s="354" t="s">
        <v>384</v>
      </c>
      <c r="B112" s="383"/>
      <c r="C112" s="427"/>
      <c r="D112" s="421">
        <f t="shared" ref="D112:M112" si="31">D110*D38</f>
        <v>3687371.0673712259</v>
      </c>
      <c r="E112" s="421">
        <f t="shared" si="31"/>
        <v>4276692.5390733862</v>
      </c>
      <c r="F112" s="421">
        <f t="shared" si="31"/>
        <v>4958764.5719663743</v>
      </c>
      <c r="G112" s="421">
        <f t="shared" si="31"/>
        <v>5743236.0834128475</v>
      </c>
      <c r="H112" s="421">
        <f t="shared" si="31"/>
        <v>6651810.1900400165</v>
      </c>
      <c r="I112" s="421">
        <f t="shared" si="31"/>
        <v>7666901.8261439065</v>
      </c>
      <c r="J112" s="421">
        <f t="shared" si="31"/>
        <v>8836900.3222226836</v>
      </c>
      <c r="K112" s="421">
        <f t="shared" si="31"/>
        <v>10185445.056647532</v>
      </c>
      <c r="L112" s="421">
        <f t="shared" si="31"/>
        <v>11739782.867200185</v>
      </c>
      <c r="M112" s="421">
        <f t="shared" si="31"/>
        <v>13531318.563154696</v>
      </c>
      <c r="N112" s="393"/>
      <c r="O112" s="393"/>
    </row>
    <row r="113" spans="1:17">
      <c r="A113" s="354" t="s">
        <v>383</v>
      </c>
      <c r="B113" s="383"/>
      <c r="C113" s="427"/>
      <c r="D113" s="421">
        <f t="shared" ref="D113:M113" si="32">D100</f>
        <v>4668245.0933802286</v>
      </c>
      <c r="E113" s="421">
        <f t="shared" si="32"/>
        <v>4949789.4588451097</v>
      </c>
      <c r="F113" s="421">
        <f t="shared" si="32"/>
        <v>5738771.7808357906</v>
      </c>
      <c r="G113" s="421">
        <f t="shared" si="32"/>
        <v>6644687.1453332333</v>
      </c>
      <c r="H113" s="421">
        <f t="shared" si="32"/>
        <v>7695869.8930395842</v>
      </c>
      <c r="I113" s="421">
        <f t="shared" si="32"/>
        <v>8858888.8781422023</v>
      </c>
      <c r="J113" s="421">
        <f t="shared" si="32"/>
        <v>10210789.150167525</v>
      </c>
      <c r="K113" s="421">
        <f t="shared" si="32"/>
        <v>11768994.566172196</v>
      </c>
      <c r="L113" s="421">
        <f t="shared" si="32"/>
        <v>13564988.078939831</v>
      </c>
      <c r="M113" s="421">
        <f t="shared" si="32"/>
        <v>15635057.060072012</v>
      </c>
      <c r="N113" s="393"/>
      <c r="O113" s="393"/>
    </row>
    <row r="114" spans="1:17" ht="22.5">
      <c r="A114" s="354" t="s">
        <v>382</v>
      </c>
      <c r="B114" s="383"/>
      <c r="C114" s="427"/>
      <c r="D114" s="421">
        <f t="shared" ref="D114:M114" si="33">D100*(1-D39)</f>
        <v>3168316.6257519145</v>
      </c>
      <c r="E114" s="421">
        <f t="shared" si="33"/>
        <v>3359399.5008250508</v>
      </c>
      <c r="F114" s="421">
        <f t="shared" si="33"/>
        <v>3894878.1996046351</v>
      </c>
      <c r="G114" s="421">
        <f t="shared" si="33"/>
        <v>4509718.8203191431</v>
      </c>
      <c r="H114" s="421">
        <f t="shared" si="33"/>
        <v>5223151.7506047385</v>
      </c>
      <c r="I114" s="421">
        <f t="shared" si="33"/>
        <v>6012487.4244730547</v>
      </c>
      <c r="J114" s="421">
        <f t="shared" si="33"/>
        <v>6930015.9651853228</v>
      </c>
      <c r="K114" s="421">
        <f t="shared" si="33"/>
        <v>7987562.8649539305</v>
      </c>
      <c r="L114" s="421">
        <f t="shared" si="33"/>
        <v>9206495.4600555319</v>
      </c>
      <c r="M114" s="421">
        <f t="shared" si="33"/>
        <v>10611441.823877526</v>
      </c>
      <c r="N114" s="393"/>
      <c r="O114" s="393"/>
    </row>
    <row r="115" spans="1:17">
      <c r="A115" s="354" t="s">
        <v>381</v>
      </c>
      <c r="B115" s="383"/>
      <c r="C115" s="427"/>
      <c r="D115" s="421">
        <f>D113-D114</f>
        <v>1499928.4676283142</v>
      </c>
      <c r="E115" s="421">
        <f>E113-E114</f>
        <v>1590389.9580200589</v>
      </c>
      <c r="F115" s="421">
        <f>F113-F114</f>
        <v>1843893.5812311554</v>
      </c>
      <c r="G115" s="421">
        <f>G113-G114</f>
        <v>2134968.3250140902</v>
      </c>
      <c r="H115" s="421">
        <f>H113-H114</f>
        <v>2472718.1424348457</v>
      </c>
      <c r="I115" s="421">
        <f t="shared" ref="I115:M115" si="34">I113-I114</f>
        <v>2846401.4536691476</v>
      </c>
      <c r="J115" s="421">
        <f t="shared" si="34"/>
        <v>3280773.184982202</v>
      </c>
      <c r="K115" s="421">
        <f t="shared" si="34"/>
        <v>3781431.7012182651</v>
      </c>
      <c r="L115" s="421">
        <f t="shared" si="34"/>
        <v>4358492.618884299</v>
      </c>
      <c r="M115" s="421">
        <f t="shared" si="34"/>
        <v>5023615.2361944858</v>
      </c>
      <c r="N115" s="393"/>
      <c r="O115" s="393"/>
    </row>
    <row r="116" spans="1:17" ht="12" thickBot="1">
      <c r="C116" s="427"/>
      <c r="D116" s="359"/>
      <c r="E116" s="359"/>
      <c r="F116" s="382"/>
      <c r="G116" s="382"/>
      <c r="H116" s="382"/>
      <c r="I116" s="382" t="s">
        <v>306</v>
      </c>
      <c r="J116" s="382"/>
      <c r="K116" s="358"/>
      <c r="L116" s="358"/>
      <c r="M116" s="382"/>
    </row>
    <row r="117" spans="1:17" ht="23.25" thickBot="1">
      <c r="A117" s="378" t="s">
        <v>380</v>
      </c>
      <c r="B117" s="452" t="s">
        <v>311</v>
      </c>
      <c r="C117" s="382">
        <v>0</v>
      </c>
      <c r="D117" s="348">
        <v>1</v>
      </c>
      <c r="E117" s="348">
        <v>2</v>
      </c>
      <c r="F117" s="348">
        <v>3</v>
      </c>
      <c r="G117" s="348">
        <v>4</v>
      </c>
      <c r="H117" s="348">
        <v>5</v>
      </c>
      <c r="I117" s="348">
        <v>6</v>
      </c>
      <c r="J117" s="348">
        <v>7</v>
      </c>
      <c r="K117" s="349">
        <v>8</v>
      </c>
      <c r="L117" s="349">
        <v>9</v>
      </c>
      <c r="M117" s="349">
        <v>10</v>
      </c>
    </row>
    <row r="118" spans="1:17" ht="22.5">
      <c r="A118" s="354" t="s">
        <v>379</v>
      </c>
      <c r="B118" s="383"/>
      <c r="C118" s="427"/>
      <c r="D118" s="421">
        <f>D111</f>
        <v>1730822.2479705894</v>
      </c>
      <c r="E118" s="421">
        <f>E111</f>
        <v>2007444.9951236304</v>
      </c>
      <c r="F118" s="421">
        <f>F111</f>
        <v>2327604.1078573908</v>
      </c>
      <c r="G118" s="421">
        <f>G111</f>
        <v>2695828.7101832563</v>
      </c>
      <c r="H118" s="421">
        <f>H111</f>
        <v>3122306.0700551011</v>
      </c>
      <c r="I118" s="421">
        <f t="shared" ref="I118" si="35">I111</f>
        <v>3598781.8994188174</v>
      </c>
      <c r="J118" s="421">
        <f>J111</f>
        <v>4147969.7598499539</v>
      </c>
      <c r="K118" s="421">
        <f>K111</f>
        <v>4780965.7849530419</v>
      </c>
      <c r="L118" s="421">
        <f t="shared" ref="L118:M118" si="36">L111</f>
        <v>5510559.4206931964</v>
      </c>
      <c r="M118" s="421">
        <f t="shared" si="36"/>
        <v>6351491.8313285494</v>
      </c>
      <c r="N118" s="393"/>
      <c r="O118" s="393"/>
    </row>
    <row r="119" spans="1:17" ht="22.5">
      <c r="A119" s="354" t="s">
        <v>378</v>
      </c>
      <c r="B119" s="383"/>
      <c r="C119" s="427"/>
      <c r="D119" s="421">
        <f>'ANTONIO ARAUJO &amp; CIA'!L9</f>
        <v>1440067</v>
      </c>
      <c r="E119" s="421">
        <f>D112</f>
        <v>3687371.0673712259</v>
      </c>
      <c r="F119" s="421">
        <f>E112</f>
        <v>4276692.5390733862</v>
      </c>
      <c r="G119" s="421">
        <f>F112</f>
        <v>4958764.5719663743</v>
      </c>
      <c r="H119" s="421">
        <f t="shared" ref="H119:J119" si="37">G112</f>
        <v>5743236.0834128475</v>
      </c>
      <c r="I119" s="421">
        <f t="shared" si="37"/>
        <v>6651810.1900400165</v>
      </c>
      <c r="J119" s="421">
        <f t="shared" si="37"/>
        <v>7666901.8261439065</v>
      </c>
      <c r="K119" s="421">
        <f>J112</f>
        <v>8836900.3222226836</v>
      </c>
      <c r="L119" s="421">
        <f t="shared" ref="L119:M119" si="38">K112</f>
        <v>10185445.056647532</v>
      </c>
      <c r="M119" s="421">
        <f t="shared" si="38"/>
        <v>11739782.867200185</v>
      </c>
      <c r="N119" s="393"/>
      <c r="O119" s="393"/>
    </row>
    <row r="120" spans="1:17">
      <c r="A120" s="354" t="s">
        <v>372</v>
      </c>
      <c r="B120" s="383"/>
      <c r="C120" s="427"/>
      <c r="D120" s="421">
        <f>D119+D118</f>
        <v>3170889.2479705894</v>
      </c>
      <c r="E120" s="421">
        <f>E119+E118</f>
        <v>5694816.0624948563</v>
      </c>
      <c r="F120" s="421">
        <f>F119+F118</f>
        <v>6604296.6469307765</v>
      </c>
      <c r="G120" s="421">
        <f>G119+G118</f>
        <v>7654593.2821496306</v>
      </c>
      <c r="H120" s="421">
        <f>H119+H118</f>
        <v>8865542.1534679495</v>
      </c>
      <c r="I120" s="421">
        <f t="shared" ref="I120:J120" si="39">I119+I118</f>
        <v>10250592.089458834</v>
      </c>
      <c r="J120" s="421">
        <f t="shared" si="39"/>
        <v>11814871.58599386</v>
      </c>
      <c r="K120" s="421">
        <f>K119+K118</f>
        <v>13617866.107175726</v>
      </c>
      <c r="L120" s="421">
        <f t="shared" ref="L120:M120" si="40">L119+L118</f>
        <v>15696004.477340728</v>
      </c>
      <c r="M120" s="421">
        <f t="shared" si="40"/>
        <v>18091274.698528733</v>
      </c>
      <c r="N120" s="393"/>
      <c r="O120" s="393"/>
    </row>
    <row r="121" spans="1:17" ht="24.75" customHeight="1">
      <c r="A121" s="354" t="s">
        <v>1197</v>
      </c>
      <c r="B121" s="383"/>
      <c r="C121" s="427"/>
      <c r="D121" s="421">
        <f>D114</f>
        <v>3168316.6257519145</v>
      </c>
      <c r="E121" s="421">
        <f>E114</f>
        <v>3359399.5008250508</v>
      </c>
      <c r="F121" s="421">
        <f>F114</f>
        <v>3894878.1996046351</v>
      </c>
      <c r="G121" s="421">
        <f>G114</f>
        <v>4509718.8203191431</v>
      </c>
      <c r="H121" s="421">
        <f>H114</f>
        <v>5223151.7506047385</v>
      </c>
      <c r="I121" s="421">
        <f t="shared" ref="I121:M121" si="41">I114</f>
        <v>6012487.4244730547</v>
      </c>
      <c r="J121" s="421">
        <f t="shared" si="41"/>
        <v>6930015.9651853228</v>
      </c>
      <c r="K121" s="421">
        <f t="shared" si="41"/>
        <v>7987562.8649539305</v>
      </c>
      <c r="L121" s="421">
        <f t="shared" si="41"/>
        <v>9206495.4600555319</v>
      </c>
      <c r="M121" s="421">
        <f t="shared" si="41"/>
        <v>10611441.823877526</v>
      </c>
      <c r="N121" s="393"/>
      <c r="O121" s="393"/>
    </row>
    <row r="122" spans="1:17" ht="26.25" customHeight="1">
      <c r="A122" s="354" t="s">
        <v>1198</v>
      </c>
      <c r="B122" s="383"/>
      <c r="C122" s="427"/>
      <c r="D122" s="421">
        <f>'ANTONIO ARAUJO &amp; CIA'!L33</f>
        <v>1436066</v>
      </c>
      <c r="E122" s="421">
        <f>D115</f>
        <v>1499928.4676283142</v>
      </c>
      <c r="F122" s="421">
        <f>E115</f>
        <v>1590389.9580200589</v>
      </c>
      <c r="G122" s="421">
        <f>F115</f>
        <v>1843893.5812311554</v>
      </c>
      <c r="H122" s="421">
        <f>G115</f>
        <v>2134968.3250140902</v>
      </c>
      <c r="I122" s="421">
        <f t="shared" ref="I122" si="42">H115</f>
        <v>2472718.1424348457</v>
      </c>
      <c r="J122" s="421">
        <f>I115</f>
        <v>2846401.4536691476</v>
      </c>
      <c r="K122" s="421">
        <f>J115</f>
        <v>3280773.184982202</v>
      </c>
      <c r="L122" s="421">
        <f t="shared" ref="L122:M122" si="43">K115</f>
        <v>3781431.7012182651</v>
      </c>
      <c r="M122" s="421">
        <f t="shared" si="43"/>
        <v>4358492.618884299</v>
      </c>
      <c r="N122" s="393"/>
      <c r="O122" s="393"/>
    </row>
    <row r="123" spans="1:17" ht="24.75" customHeight="1">
      <c r="A123" s="354" t="s">
        <v>377</v>
      </c>
      <c r="B123" s="383"/>
      <c r="C123" s="427"/>
      <c r="D123" s="421">
        <f>D122+D121</f>
        <v>4604382.6257519145</v>
      </c>
      <c r="E123" s="421">
        <f>E122+E121</f>
        <v>4859327.9684533644</v>
      </c>
      <c r="F123" s="421">
        <f>F122+F121</f>
        <v>5485268.1576246936</v>
      </c>
      <c r="G123" s="421">
        <f>G122+G121</f>
        <v>6353612.4015502986</v>
      </c>
      <c r="H123" s="421">
        <f>H122+H121</f>
        <v>7358120.0756188286</v>
      </c>
      <c r="I123" s="421">
        <f t="shared" ref="I123:M123" si="44">I122+I121</f>
        <v>8485205.5669079013</v>
      </c>
      <c r="J123" s="421">
        <f t="shared" si="44"/>
        <v>9776417.4188544713</v>
      </c>
      <c r="K123" s="421">
        <f>K122+K121</f>
        <v>11268336.049936133</v>
      </c>
      <c r="L123" s="421">
        <f t="shared" si="44"/>
        <v>12987927.161273796</v>
      </c>
      <c r="M123" s="421">
        <f t="shared" si="44"/>
        <v>14969934.442761825</v>
      </c>
      <c r="N123" s="393"/>
      <c r="O123" s="393"/>
    </row>
    <row r="124" spans="1:17" ht="12" thickBot="1">
      <c r="A124" s="386"/>
      <c r="C124" s="427"/>
      <c r="D124" s="382"/>
      <c r="E124" s="382"/>
      <c r="F124" s="382"/>
      <c r="G124" s="382"/>
      <c r="H124" s="382"/>
      <c r="I124" s="382" t="s">
        <v>306</v>
      </c>
      <c r="J124" s="382"/>
      <c r="K124" s="358"/>
      <c r="L124" s="414"/>
      <c r="M124" s="382"/>
    </row>
    <row r="125" spans="1:17" ht="12" thickBot="1">
      <c r="A125" s="377" t="s">
        <v>376</v>
      </c>
      <c r="C125" s="427"/>
      <c r="D125" s="359"/>
      <c r="E125" s="359"/>
      <c r="F125" s="348"/>
      <c r="G125" s="382"/>
      <c r="H125" s="382"/>
      <c r="I125" s="382" t="s">
        <v>306</v>
      </c>
      <c r="J125" s="382"/>
      <c r="K125" s="358"/>
      <c r="L125" s="414"/>
      <c r="M125" s="382"/>
    </row>
    <row r="126" spans="1:17" ht="25.5" customHeight="1" thickBot="1">
      <c r="A126" s="376" t="s">
        <v>375</v>
      </c>
      <c r="B126" s="404"/>
      <c r="C126" s="382"/>
      <c r="D126" s="348"/>
      <c r="E126" s="348"/>
      <c r="F126" s="348"/>
      <c r="G126" s="348"/>
      <c r="H126" s="348"/>
      <c r="I126" s="348"/>
      <c r="J126" s="348"/>
      <c r="K126" s="349"/>
      <c r="L126" s="349"/>
      <c r="M126" s="349"/>
    </row>
    <row r="127" spans="1:17">
      <c r="A127" s="361" t="s">
        <v>374</v>
      </c>
      <c r="B127" s="383"/>
      <c r="C127" s="427"/>
      <c r="D127" s="359"/>
      <c r="E127" s="359"/>
      <c r="F127" s="348"/>
      <c r="G127" s="382"/>
      <c r="H127" s="382"/>
      <c r="I127" s="382" t="s">
        <v>306</v>
      </c>
      <c r="J127" s="382"/>
      <c r="K127" s="358"/>
      <c r="L127" s="414"/>
      <c r="M127" s="382"/>
    </row>
    <row r="128" spans="1:17" ht="22.5">
      <c r="A128" s="361" t="s">
        <v>373</v>
      </c>
      <c r="B128" s="383"/>
      <c r="C128" s="427"/>
      <c r="D128" s="434">
        <f>D120</f>
        <v>3170889.2479705894</v>
      </c>
      <c r="E128" s="434">
        <f>E120</f>
        <v>5694816.0624948563</v>
      </c>
      <c r="F128" s="434">
        <f>F120</f>
        <v>6604296.6469307765</v>
      </c>
      <c r="G128" s="434">
        <f>G120</f>
        <v>7654593.2821496306</v>
      </c>
      <c r="H128" s="434">
        <f>H120</f>
        <v>8865542.1534679495</v>
      </c>
      <c r="I128" s="434">
        <f t="shared" ref="I128:L128" si="45">I120</f>
        <v>10250592.089458834</v>
      </c>
      <c r="J128" s="434">
        <f t="shared" si="45"/>
        <v>11814871.58599386</v>
      </c>
      <c r="K128" s="434">
        <f t="shared" si="45"/>
        <v>13617866.107175726</v>
      </c>
      <c r="L128" s="434">
        <f t="shared" si="45"/>
        <v>15696004.477340728</v>
      </c>
      <c r="M128" s="434">
        <f>M120</f>
        <v>18091274.698528733</v>
      </c>
      <c r="N128" s="401"/>
      <c r="O128" s="401"/>
      <c r="P128" s="401"/>
      <c r="Q128" s="401"/>
    </row>
    <row r="129" spans="1:17">
      <c r="A129" s="368" t="s">
        <v>1222</v>
      </c>
      <c r="B129" s="383"/>
      <c r="C129" s="427"/>
      <c r="D129" s="434">
        <f>C245</f>
        <v>11637</v>
      </c>
      <c r="E129" s="434"/>
      <c r="F129" s="434"/>
      <c r="G129" s="434"/>
      <c r="H129" s="434"/>
      <c r="I129" s="434"/>
      <c r="J129" s="434"/>
      <c r="K129" s="434"/>
      <c r="L129" s="434"/>
      <c r="M129" s="434"/>
      <c r="N129" s="401"/>
      <c r="O129" s="401"/>
      <c r="P129" s="401"/>
      <c r="Q129" s="401"/>
    </row>
    <row r="130" spans="1:17">
      <c r="A130" s="373" t="s">
        <v>1223</v>
      </c>
      <c r="B130" s="383"/>
      <c r="C130" s="427"/>
      <c r="D130" s="434">
        <f>'ANTONIO ARAUJO &amp; CIA'!L17</f>
        <v>2194791</v>
      </c>
      <c r="E130" s="434"/>
      <c r="F130" s="434"/>
      <c r="G130" s="434"/>
      <c r="H130" s="434"/>
      <c r="I130" s="434"/>
      <c r="J130" s="434"/>
      <c r="K130" s="434"/>
      <c r="L130" s="434"/>
      <c r="M130" s="434"/>
      <c r="N130" s="401"/>
      <c r="O130" s="401"/>
      <c r="P130" s="401"/>
      <c r="Q130" s="401"/>
    </row>
    <row r="131" spans="1:17">
      <c r="A131" s="361" t="s">
        <v>372</v>
      </c>
      <c r="B131" s="383"/>
      <c r="C131" s="427"/>
      <c r="D131" s="434">
        <f>D128+D129+D130</f>
        <v>5377317.2479705894</v>
      </c>
      <c r="E131" s="434">
        <f>E128</f>
        <v>5694816.0624948563</v>
      </c>
      <c r="F131" s="434">
        <f>F128</f>
        <v>6604296.6469307765</v>
      </c>
      <c r="G131" s="434">
        <f>G128</f>
        <v>7654593.2821496306</v>
      </c>
      <c r="H131" s="434">
        <f>H128</f>
        <v>8865542.1534679495</v>
      </c>
      <c r="I131" s="434">
        <f t="shared" ref="I131:M131" si="46">I128</f>
        <v>10250592.089458834</v>
      </c>
      <c r="J131" s="434">
        <f t="shared" si="46"/>
        <v>11814871.58599386</v>
      </c>
      <c r="K131" s="434">
        <f t="shared" si="46"/>
        <v>13617866.107175726</v>
      </c>
      <c r="L131" s="434">
        <f t="shared" si="46"/>
        <v>15696004.477340728</v>
      </c>
      <c r="M131" s="434">
        <f t="shared" si="46"/>
        <v>18091274.698528733</v>
      </c>
      <c r="N131" s="401"/>
      <c r="O131" s="401"/>
      <c r="P131" s="401"/>
      <c r="Q131" s="401"/>
    </row>
    <row r="132" spans="1:17">
      <c r="A132" s="361" t="s">
        <v>371</v>
      </c>
      <c r="B132" s="383"/>
      <c r="C132" s="427"/>
      <c r="D132" s="434"/>
      <c r="E132" s="434"/>
      <c r="F132" s="434"/>
      <c r="G132" s="434"/>
      <c r="H132" s="434"/>
      <c r="I132" s="434" t="s">
        <v>306</v>
      </c>
      <c r="J132" s="434"/>
      <c r="K132" s="358"/>
      <c r="L132" s="414"/>
      <c r="M132" s="434"/>
      <c r="N132" s="401"/>
      <c r="O132" s="401"/>
      <c r="P132" s="401"/>
      <c r="Q132" s="401"/>
    </row>
    <row r="133" spans="1:17" ht="23.25" customHeight="1">
      <c r="A133" s="361" t="s">
        <v>370</v>
      </c>
      <c r="B133" s="383"/>
      <c r="C133" s="427"/>
      <c r="D133" s="434">
        <f>D123</f>
        <v>4604382.6257519145</v>
      </c>
      <c r="E133" s="434">
        <f>E123</f>
        <v>4859327.9684533644</v>
      </c>
      <c r="F133" s="434">
        <f>F123</f>
        <v>5485268.1576246936</v>
      </c>
      <c r="G133" s="434">
        <f>G123</f>
        <v>6353612.4015502986</v>
      </c>
      <c r="H133" s="434">
        <f>H123</f>
        <v>7358120.0756188286</v>
      </c>
      <c r="I133" s="434">
        <f t="shared" ref="I133:M133" si="47">I123</f>
        <v>8485205.5669079013</v>
      </c>
      <c r="J133" s="434">
        <f t="shared" si="47"/>
        <v>9776417.4188544713</v>
      </c>
      <c r="K133" s="434">
        <f t="shared" si="47"/>
        <v>11268336.049936133</v>
      </c>
      <c r="L133" s="434">
        <f t="shared" si="47"/>
        <v>12987927.161273796</v>
      </c>
      <c r="M133" s="434">
        <f t="shared" si="47"/>
        <v>14969934.442761825</v>
      </c>
      <c r="N133" s="401"/>
      <c r="O133" s="401"/>
      <c r="P133" s="401"/>
      <c r="Q133" s="401"/>
    </row>
    <row r="134" spans="1:17" ht="23.25" customHeight="1">
      <c r="A134" s="361" t="s">
        <v>369</v>
      </c>
      <c r="B134" s="383"/>
      <c r="C134" s="427"/>
      <c r="D134" s="434">
        <f>D107</f>
        <v>1726357.8739471836</v>
      </c>
      <c r="E134" s="434">
        <f t="shared" ref="E134:M134" si="48">E107</f>
        <v>1838830.1258599733</v>
      </c>
      <c r="F134" s="434">
        <f t="shared" si="48"/>
        <v>1958063.0227748272</v>
      </c>
      <c r="G134" s="434">
        <f t="shared" si="48"/>
        <v>2082713.059456191</v>
      </c>
      <c r="H134" s="434">
        <f t="shared" si="48"/>
        <v>2215298.3012172394</v>
      </c>
      <c r="I134" s="434">
        <f t="shared" si="48"/>
        <v>2344940.6949216248</v>
      </c>
      <c r="J134" s="434">
        <f t="shared" si="48"/>
        <v>2482169.9450941291</v>
      </c>
      <c r="K134" s="434">
        <f t="shared" si="48"/>
        <v>2627430.0453191279</v>
      </c>
      <c r="L134" s="434">
        <f t="shared" si="48"/>
        <v>2781190.9723143</v>
      </c>
      <c r="M134" s="434">
        <f t="shared" si="48"/>
        <v>2943950.206500385</v>
      </c>
      <c r="N134" s="401"/>
      <c r="O134" s="401"/>
      <c r="P134" s="401"/>
      <c r="Q134" s="401"/>
    </row>
    <row r="135" spans="1:17">
      <c r="A135" s="361" t="s">
        <v>316</v>
      </c>
      <c r="B135" s="383"/>
      <c r="C135" s="427"/>
      <c r="D135" s="434">
        <f>D231</f>
        <v>0</v>
      </c>
      <c r="E135" s="434">
        <f>E231</f>
        <v>0</v>
      </c>
      <c r="F135" s="434">
        <f t="shared" ref="F135:M135" si="49">F231</f>
        <v>0</v>
      </c>
      <c r="G135" s="434">
        <f t="shared" si="49"/>
        <v>0</v>
      </c>
      <c r="H135" s="434">
        <f t="shared" si="49"/>
        <v>0</v>
      </c>
      <c r="I135" s="434">
        <f t="shared" si="49"/>
        <v>0</v>
      </c>
      <c r="J135" s="434">
        <f t="shared" si="49"/>
        <v>0</v>
      </c>
      <c r="K135" s="434">
        <f t="shared" si="49"/>
        <v>0</v>
      </c>
      <c r="L135" s="434">
        <f t="shared" si="49"/>
        <v>0</v>
      </c>
      <c r="M135" s="434">
        <f t="shared" si="49"/>
        <v>0</v>
      </c>
      <c r="N135" s="401"/>
      <c r="O135" s="401"/>
      <c r="P135" s="401"/>
      <c r="Q135" s="401"/>
    </row>
    <row r="136" spans="1:17">
      <c r="A136" s="361" t="s">
        <v>368</v>
      </c>
      <c r="B136" s="383"/>
      <c r="C136" s="427"/>
      <c r="D136" s="434">
        <f>SUM(D133:D135)</f>
        <v>6330740.4996990981</v>
      </c>
      <c r="E136" s="434">
        <f>SUM(E133:E135)</f>
        <v>6698158.0943133375</v>
      </c>
      <c r="F136" s="434">
        <f>SUM(F133:F135)</f>
        <v>7443331.1803995203</v>
      </c>
      <c r="G136" s="434">
        <f t="shared" ref="G136:M136" si="50">SUM(G133:G135)</f>
        <v>8436325.4610064887</v>
      </c>
      <c r="H136" s="434">
        <f t="shared" si="50"/>
        <v>9573418.3768360689</v>
      </c>
      <c r="I136" s="434">
        <f t="shared" si="50"/>
        <v>10830146.261829525</v>
      </c>
      <c r="J136" s="434">
        <f t="shared" si="50"/>
        <v>12258587.3639486</v>
      </c>
      <c r="K136" s="434">
        <f t="shared" si="50"/>
        <v>13895766.095255259</v>
      </c>
      <c r="L136" s="434">
        <f t="shared" si="50"/>
        <v>15769118.133588096</v>
      </c>
      <c r="M136" s="434">
        <f t="shared" si="50"/>
        <v>17913884.649262212</v>
      </c>
      <c r="N136" s="401"/>
      <c r="O136" s="401"/>
      <c r="P136" s="401"/>
      <c r="Q136" s="401"/>
    </row>
    <row r="137" spans="1:17" ht="33.75">
      <c r="A137" s="362" t="s">
        <v>367</v>
      </c>
      <c r="B137" s="383"/>
      <c r="C137" s="427"/>
      <c r="D137" s="434">
        <f>D131-D136</f>
        <v>-953423.25172850862</v>
      </c>
      <c r="E137" s="434">
        <f>E131-E136</f>
        <v>-1003342.0318184812</v>
      </c>
      <c r="F137" s="434">
        <f>F131-F136</f>
        <v>-839034.53346874379</v>
      </c>
      <c r="G137" s="434">
        <f>G131-G136</f>
        <v>-781732.17885685805</v>
      </c>
      <c r="H137" s="434">
        <f>H131-H136</f>
        <v>-707876.22336811945</v>
      </c>
      <c r="I137" s="434">
        <f t="shared" ref="I137:M137" si="51">I131-I136</f>
        <v>-579554.17237069085</v>
      </c>
      <c r="J137" s="434">
        <f t="shared" si="51"/>
        <v>-443715.77795474045</v>
      </c>
      <c r="K137" s="434">
        <f t="shared" si="51"/>
        <v>-277899.98807953298</v>
      </c>
      <c r="L137" s="434">
        <f t="shared" si="51"/>
        <v>-73113.656247368082</v>
      </c>
      <c r="M137" s="434">
        <f t="shared" si="51"/>
        <v>177390.04926652089</v>
      </c>
      <c r="N137" s="401"/>
      <c r="O137" s="401"/>
      <c r="P137" s="401"/>
      <c r="Q137" s="401"/>
    </row>
    <row r="138" spans="1:17" ht="15.75" customHeight="1" thickBot="1">
      <c r="A138" s="362"/>
      <c r="B138" s="383"/>
      <c r="C138" s="427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01"/>
      <c r="O138" s="401"/>
      <c r="P138" s="401"/>
      <c r="Q138" s="401"/>
    </row>
    <row r="139" spans="1:17" ht="23.25" thickBot="1">
      <c r="A139" s="375" t="s">
        <v>366</v>
      </c>
      <c r="B139" s="383"/>
      <c r="C139" s="427"/>
      <c r="D139" s="434"/>
      <c r="E139" s="434"/>
      <c r="F139" s="434"/>
      <c r="G139" s="434"/>
      <c r="H139" s="434"/>
      <c r="I139" s="434" t="s">
        <v>306</v>
      </c>
      <c r="J139" s="434"/>
      <c r="K139" s="358"/>
      <c r="L139" s="438"/>
      <c r="M139" s="434"/>
      <c r="N139" s="401"/>
      <c r="O139" s="401"/>
      <c r="P139" s="401"/>
      <c r="Q139" s="401"/>
    </row>
    <row r="140" spans="1:17">
      <c r="A140" s="363" t="s">
        <v>365</v>
      </c>
      <c r="B140" s="383"/>
      <c r="C140" s="427"/>
      <c r="D140" s="434">
        <f>0</f>
        <v>0</v>
      </c>
      <c r="E140" s="434">
        <f>D140</f>
        <v>0</v>
      </c>
      <c r="F140" s="434">
        <f t="shared" ref="F140:M140" si="52">E140</f>
        <v>0</v>
      </c>
      <c r="G140" s="434">
        <f t="shared" si="52"/>
        <v>0</v>
      </c>
      <c r="H140" s="434">
        <f t="shared" si="52"/>
        <v>0</v>
      </c>
      <c r="I140" s="434">
        <f t="shared" si="52"/>
        <v>0</v>
      </c>
      <c r="J140" s="434">
        <f t="shared" si="52"/>
        <v>0</v>
      </c>
      <c r="K140" s="434">
        <f t="shared" si="52"/>
        <v>0</v>
      </c>
      <c r="L140" s="434">
        <f t="shared" si="52"/>
        <v>0</v>
      </c>
      <c r="M140" s="434">
        <f t="shared" si="52"/>
        <v>0</v>
      </c>
      <c r="N140" s="401"/>
      <c r="O140" s="401"/>
      <c r="P140" s="401"/>
      <c r="Q140" s="401"/>
    </row>
    <row r="141" spans="1:17">
      <c r="A141" s="363" t="s">
        <v>364</v>
      </c>
      <c r="B141" s="383"/>
      <c r="C141" s="427"/>
      <c r="D141" s="434">
        <f>D87</f>
        <v>5967.4</v>
      </c>
      <c r="E141" s="434">
        <f>E87</f>
        <v>7160.8799999999992</v>
      </c>
      <c r="F141" s="434">
        <f>F87</f>
        <v>8593.0559999999987</v>
      </c>
      <c r="G141" s="434">
        <f>G87</f>
        <v>10311.667199999998</v>
      </c>
      <c r="H141" s="434">
        <f>H87</f>
        <v>7074.0006399999993</v>
      </c>
      <c r="I141" s="434">
        <f t="shared" ref="I141:M141" si="53">I87</f>
        <v>7821.4007679999995</v>
      </c>
      <c r="J141" s="434">
        <f t="shared" si="53"/>
        <v>8192.2009215999988</v>
      </c>
      <c r="K141" s="434">
        <f t="shared" si="53"/>
        <v>8398.4651059199987</v>
      </c>
      <c r="L141" s="434">
        <f t="shared" si="53"/>
        <v>8359.5469271039983</v>
      </c>
      <c r="M141" s="434">
        <f t="shared" si="53"/>
        <v>7969.1228725247984</v>
      </c>
      <c r="N141" s="401"/>
      <c r="O141" s="401"/>
      <c r="P141" s="401"/>
      <c r="Q141" s="401"/>
    </row>
    <row r="142" spans="1:17" ht="22.5">
      <c r="A142" s="362" t="s">
        <v>363</v>
      </c>
      <c r="B142" s="383"/>
      <c r="C142" s="427"/>
      <c r="D142" s="434">
        <f>D140-D141</f>
        <v>-5967.4</v>
      </c>
      <c r="E142" s="434">
        <f t="shared" ref="E142:M142" si="54">E140-E141</f>
        <v>-7160.8799999999992</v>
      </c>
      <c r="F142" s="434">
        <f t="shared" si="54"/>
        <v>-8593.0559999999987</v>
      </c>
      <c r="G142" s="434">
        <f t="shared" si="54"/>
        <v>-10311.667199999998</v>
      </c>
      <c r="H142" s="434">
        <f t="shared" si="54"/>
        <v>-7074.0006399999993</v>
      </c>
      <c r="I142" s="434">
        <f>I140-I141</f>
        <v>-7821.4007679999995</v>
      </c>
      <c r="J142" s="434">
        <f t="shared" si="54"/>
        <v>-8192.2009215999988</v>
      </c>
      <c r="K142" s="434">
        <f t="shared" si="54"/>
        <v>-8398.4651059199987</v>
      </c>
      <c r="L142" s="434">
        <f t="shared" si="54"/>
        <v>-8359.5469271039983</v>
      </c>
      <c r="M142" s="434">
        <f t="shared" si="54"/>
        <v>-7969.1228725247984</v>
      </c>
      <c r="N142" s="401"/>
      <c r="O142" s="401"/>
      <c r="P142" s="401"/>
      <c r="Q142" s="401"/>
    </row>
    <row r="143" spans="1:17" ht="22.5">
      <c r="A143" s="362" t="s">
        <v>362</v>
      </c>
      <c r="B143" s="383"/>
      <c r="C143" s="427"/>
      <c r="D143" s="434">
        <f>D137+D142</f>
        <v>-959390.65172850864</v>
      </c>
      <c r="E143" s="434">
        <f>E137+E142</f>
        <v>-1010502.9118184812</v>
      </c>
      <c r="F143" s="434">
        <f>F137+F142</f>
        <v>-847627.58946874377</v>
      </c>
      <c r="G143" s="434">
        <f t="shared" ref="G143:M143" si="55">G137+G142</f>
        <v>-792043.84605685808</v>
      </c>
      <c r="H143" s="434">
        <f t="shared" si="55"/>
        <v>-714950.22400811943</v>
      </c>
      <c r="I143" s="434">
        <f t="shared" si="55"/>
        <v>-587375.5731386909</v>
      </c>
      <c r="J143" s="434">
        <f t="shared" si="55"/>
        <v>-451907.97887634044</v>
      </c>
      <c r="K143" s="434">
        <f t="shared" si="55"/>
        <v>-286298.45318545296</v>
      </c>
      <c r="L143" s="434">
        <f t="shared" si="55"/>
        <v>-81473.203174472088</v>
      </c>
      <c r="M143" s="434">
        <f t="shared" si="55"/>
        <v>169420.92639399608</v>
      </c>
      <c r="N143" s="401"/>
      <c r="O143" s="401"/>
      <c r="P143" s="401"/>
      <c r="Q143" s="401"/>
    </row>
    <row r="144" spans="1:17" ht="12" thickBot="1">
      <c r="A144" s="362"/>
      <c r="B144" s="383"/>
      <c r="C144" s="427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01"/>
      <c r="O144" s="401"/>
      <c r="P144" s="401"/>
      <c r="Q144" s="401"/>
    </row>
    <row r="145" spans="1:17" ht="23.25" thickBot="1">
      <c r="A145" s="375" t="s">
        <v>361</v>
      </c>
      <c r="B145" s="383"/>
      <c r="C145" s="427"/>
      <c r="D145" s="434"/>
      <c r="E145" s="434"/>
      <c r="F145" s="434"/>
      <c r="G145" s="434"/>
      <c r="H145" s="434"/>
      <c r="I145" s="434" t="s">
        <v>306</v>
      </c>
      <c r="J145" s="434"/>
      <c r="K145" s="358"/>
      <c r="L145" s="358"/>
      <c r="M145" s="434"/>
      <c r="N145" s="401"/>
      <c r="O145" s="401"/>
      <c r="P145" s="401"/>
      <c r="Q145" s="401"/>
    </row>
    <row r="146" spans="1:17" ht="15" customHeight="1">
      <c r="A146" s="363" t="s">
        <v>360</v>
      </c>
      <c r="B146" s="383"/>
      <c r="C146" s="427"/>
      <c r="D146" s="434"/>
      <c r="E146" s="434"/>
      <c r="F146" s="434"/>
      <c r="G146" s="434"/>
      <c r="H146" s="434"/>
      <c r="I146" s="434" t="s">
        <v>306</v>
      </c>
      <c r="J146" s="434"/>
      <c r="K146" s="358"/>
      <c r="L146" s="439"/>
      <c r="M146" s="434"/>
      <c r="N146" s="401"/>
      <c r="O146" s="401"/>
      <c r="P146" s="401"/>
      <c r="Q146" s="401"/>
    </row>
    <row r="147" spans="1:17">
      <c r="A147" s="364" t="s">
        <v>359</v>
      </c>
      <c r="B147" s="405"/>
      <c r="C147" s="427"/>
      <c r="D147" s="436">
        <f t="shared" ref="D147:M147" si="56">IF((C239+D137-D152+D169-D70)&gt;0,0,-(C239+D137-D152+D169-D70))</f>
        <v>1096764.2097666615</v>
      </c>
      <c r="E147" s="436">
        <f t="shared" si="56"/>
        <v>2294866.2800166616</v>
      </c>
      <c r="F147" s="436">
        <f t="shared" si="56"/>
        <v>3519779.7778787161</v>
      </c>
      <c r="G147" s="436">
        <f t="shared" si="56"/>
        <v>4879044.6327631837</v>
      </c>
      <c r="H147" s="436">
        <f t="shared" si="56"/>
        <v>6380704.6259201579</v>
      </c>
      <c r="I147" s="436">
        <f t="shared" si="56"/>
        <v>7957152.4274273561</v>
      </c>
      <c r="J147" s="436">
        <f t="shared" si="56"/>
        <v>9640424.1975026261</v>
      </c>
      <c r="K147" s="436">
        <f t="shared" si="56"/>
        <v>11417484.162617039</v>
      </c>
      <c r="L147" s="436">
        <f t="shared" si="56"/>
        <v>13264482.12455238</v>
      </c>
      <c r="M147" s="436">
        <f t="shared" si="56"/>
        <v>15147396.266941477</v>
      </c>
      <c r="N147" s="402"/>
      <c r="O147" s="402"/>
      <c r="P147" s="402"/>
      <c r="Q147" s="401"/>
    </row>
    <row r="148" spans="1:17" ht="15" customHeight="1">
      <c r="A148" s="364" t="s">
        <v>358</v>
      </c>
      <c r="B148" s="385"/>
      <c r="C148" s="427"/>
      <c r="D148" s="436">
        <f>IF((C239+D143+D147-D155-D162+D169-D$70)&gt;0,0,-(C239+D143+D147-D155-D162+D169-D$70))*$C$17</f>
        <v>4773.9199999999719</v>
      </c>
      <c r="E148" s="436">
        <f t="shared" ref="E148:M148" si="57">IF((D173+E143+E147-E155-E162+E169-E$70)&gt;0,0,-(D173+E143+E147-E155-E162+E169-E$70))*$C$17</f>
        <v>6711.013139548968</v>
      </c>
      <c r="F148" s="436">
        <f t="shared" si="57"/>
        <v>9174.7428376954522</v>
      </c>
      <c r="G148" s="436">
        <f t="shared" si="57"/>
        <v>12271.936218091125</v>
      </c>
      <c r="H148" s="436">
        <f t="shared" si="57"/>
        <v>11934.266078471788</v>
      </c>
      <c r="I148" s="436">
        <f t="shared" si="57"/>
        <v>14398.299125223561</v>
      </c>
      <c r="J148" s="436">
        <f t="shared" si="57"/>
        <v>14299.220510963816</v>
      </c>
      <c r="K148" s="436">
        <f t="shared" si="57"/>
        <v>16787.292644109995</v>
      </c>
      <c r="L148" s="436">
        <f t="shared" si="57"/>
        <v>19405.415982904473</v>
      </c>
      <c r="M148" s="436">
        <f t="shared" si="57"/>
        <v>22064.665641592026</v>
      </c>
      <c r="N148" s="402"/>
      <c r="O148" s="402"/>
      <c r="P148" s="402"/>
      <c r="Q148" s="401"/>
    </row>
    <row r="149" spans="1:17" ht="14.25" customHeight="1">
      <c r="A149" s="366" t="s">
        <v>357</v>
      </c>
      <c r="B149" s="385"/>
      <c r="C149" s="427"/>
      <c r="D149" s="436"/>
      <c r="E149" s="436"/>
      <c r="F149" s="436"/>
      <c r="G149" s="436"/>
      <c r="H149" s="436"/>
      <c r="I149" s="436" t="s">
        <v>306</v>
      </c>
      <c r="J149" s="436"/>
      <c r="K149" s="440"/>
      <c r="L149" s="441"/>
      <c r="M149" s="436"/>
      <c r="N149" s="402"/>
      <c r="O149" s="402"/>
      <c r="P149" s="402"/>
      <c r="Q149" s="401"/>
    </row>
    <row r="150" spans="1:17">
      <c r="A150" s="365" t="s">
        <v>356</v>
      </c>
      <c r="B150" s="385"/>
      <c r="C150" s="427"/>
      <c r="D150" s="436">
        <f t="shared" ref="D150:M150" si="58">D181+D189</f>
        <v>102083</v>
      </c>
      <c r="E150" s="436">
        <f t="shared" si="58"/>
        <v>1096764.2097666615</v>
      </c>
      <c r="F150" s="436">
        <f t="shared" si="58"/>
        <v>2294866.2800166616</v>
      </c>
      <c r="G150" s="436">
        <f t="shared" si="58"/>
        <v>3519779.7778787161</v>
      </c>
      <c r="H150" s="436">
        <f t="shared" si="58"/>
        <v>4879044.6327631837</v>
      </c>
      <c r="I150" s="436">
        <f t="shared" si="58"/>
        <v>6380704.6259201579</v>
      </c>
      <c r="J150" s="436">
        <f t="shared" si="58"/>
        <v>7957152.4274273561</v>
      </c>
      <c r="K150" s="436">
        <f t="shared" si="58"/>
        <v>9640424.1975026261</v>
      </c>
      <c r="L150" s="436">
        <f t="shared" si="58"/>
        <v>11417484.162617039</v>
      </c>
      <c r="M150" s="436">
        <f t="shared" si="58"/>
        <v>13264482.12455238</v>
      </c>
      <c r="N150" s="402"/>
      <c r="O150" s="402"/>
      <c r="P150" s="402"/>
      <c r="Q150" s="401"/>
    </row>
    <row r="151" spans="1:17">
      <c r="A151" s="365" t="s">
        <v>355</v>
      </c>
      <c r="B151" s="385"/>
      <c r="C151" s="427"/>
      <c r="D151" s="436">
        <f t="shared" ref="D151:M151" si="59">D180+D188</f>
        <v>16048.17892418261</v>
      </c>
      <c r="E151" s="436">
        <f t="shared" si="59"/>
        <v>172419.19101099236</v>
      </c>
      <c r="F151" s="436">
        <f t="shared" si="59"/>
        <v>360021.99506779504</v>
      </c>
      <c r="G151" s="436">
        <f t="shared" si="59"/>
        <v>547793.7997359389</v>
      </c>
      <c r="H151" s="436">
        <f t="shared" si="59"/>
        <v>759340.23351692734</v>
      </c>
      <c r="I151" s="436">
        <f t="shared" si="59"/>
        <v>958412.07289090229</v>
      </c>
      <c r="J151" s="436">
        <f t="shared" si="59"/>
        <v>1195202.0034432721</v>
      </c>
      <c r="K151" s="436">
        <f t="shared" si="59"/>
        <v>1448037.4003119885</v>
      </c>
      <c r="L151" s="436">
        <f t="shared" si="59"/>
        <v>1714960.2285366422</v>
      </c>
      <c r="M151" s="436">
        <f t="shared" si="59"/>
        <v>1992388.0753190725</v>
      </c>
      <c r="N151" s="402"/>
      <c r="O151" s="402"/>
      <c r="P151" s="402"/>
      <c r="Q151" s="401"/>
    </row>
    <row r="152" spans="1:17">
      <c r="A152" s="367" t="s">
        <v>354</v>
      </c>
      <c r="B152" s="385"/>
      <c r="C152" s="427"/>
      <c r="D152" s="436">
        <f>D151+D150</f>
        <v>118131.1789241826</v>
      </c>
      <c r="E152" s="436">
        <f t="shared" ref="E152:M152" si="60">E151+E150</f>
        <v>1269183.4007776538</v>
      </c>
      <c r="F152" s="436">
        <f t="shared" si="60"/>
        <v>2654888.2750844564</v>
      </c>
      <c r="G152" s="436">
        <f t="shared" si="60"/>
        <v>4067573.5776146548</v>
      </c>
      <c r="H152" s="436">
        <f t="shared" si="60"/>
        <v>5638384.8662801106</v>
      </c>
      <c r="I152" s="436">
        <f t="shared" si="60"/>
        <v>7339116.6988110598</v>
      </c>
      <c r="J152" s="436">
        <f t="shared" si="60"/>
        <v>9152354.430870628</v>
      </c>
      <c r="K152" s="436">
        <f t="shared" si="60"/>
        <v>11088461.597814614</v>
      </c>
      <c r="L152" s="436">
        <f t="shared" si="60"/>
        <v>13132444.391153682</v>
      </c>
      <c r="M152" s="436">
        <f t="shared" si="60"/>
        <v>15256870.199871453</v>
      </c>
      <c r="N152" s="402"/>
      <c r="O152" s="402"/>
      <c r="P152" s="392"/>
    </row>
    <row r="153" spans="1:17">
      <c r="A153" s="365" t="s">
        <v>353</v>
      </c>
      <c r="B153" s="385"/>
      <c r="C153" s="427"/>
      <c r="D153" s="436">
        <f>D215</f>
        <v>0</v>
      </c>
      <c r="E153" s="436">
        <f>E215</f>
        <v>477.39199999999721</v>
      </c>
      <c r="F153" s="436">
        <f>F215</f>
        <v>1148.4933139548939</v>
      </c>
      <c r="G153" s="436">
        <f>G215</f>
        <v>2065.9675977244392</v>
      </c>
      <c r="H153" s="436">
        <f t="shared" ref="H153:M153" si="61">H215</f>
        <v>3293.161219533552</v>
      </c>
      <c r="I153" s="436">
        <f t="shared" si="61"/>
        <v>4486.5878273807302</v>
      </c>
      <c r="J153" s="436">
        <f t="shared" si="61"/>
        <v>4486.5878273807302</v>
      </c>
      <c r="K153" s="436">
        <f t="shared" si="61"/>
        <v>5916.5098784771117</v>
      </c>
      <c r="L153" s="436">
        <f t="shared" si="61"/>
        <v>7595.239142888111</v>
      </c>
      <c r="M153" s="436">
        <f t="shared" si="61"/>
        <v>9535.7807411785579</v>
      </c>
      <c r="N153" s="402"/>
      <c r="O153" s="402"/>
      <c r="P153" s="402"/>
      <c r="Q153" s="401"/>
    </row>
    <row r="154" spans="1:17">
      <c r="A154" s="365" t="s">
        <v>352</v>
      </c>
      <c r="B154" s="385"/>
      <c r="C154" s="427"/>
      <c r="D154" s="436">
        <f>D213</f>
        <v>0</v>
      </c>
      <c r="E154" s="436">
        <f t="shared" ref="E154:M154" si="62">E213</f>
        <v>750.49442443632529</v>
      </c>
      <c r="F154" s="436">
        <f t="shared" si="62"/>
        <v>1726.8792331649352</v>
      </c>
      <c r="G154" s="436">
        <f t="shared" si="62"/>
        <v>2962.2854748900336</v>
      </c>
      <c r="H154" s="436">
        <f t="shared" si="62"/>
        <v>4550.6707385572518</v>
      </c>
      <c r="I154" s="436">
        <f t="shared" si="62"/>
        <v>5689.8853111488406</v>
      </c>
      <c r="J154" s="436">
        <f t="shared" si="62"/>
        <v>5195.2368897259594</v>
      </c>
      <c r="K154" s="436">
        <f t="shared" si="62"/>
        <v>6669.1408207410477</v>
      </c>
      <c r="L154" s="436">
        <f t="shared" si="62"/>
        <v>8301.9839086397351</v>
      </c>
      <c r="M154" s="436">
        <f t="shared" si="62"/>
        <v>10075.928438287336</v>
      </c>
      <c r="N154" s="402"/>
      <c r="O154" s="402"/>
      <c r="P154" s="402"/>
      <c r="Q154" s="401"/>
    </row>
    <row r="155" spans="1:17">
      <c r="A155" s="365" t="s">
        <v>351</v>
      </c>
      <c r="B155" s="385"/>
      <c r="C155" s="427"/>
      <c r="D155" s="436">
        <f>D152+D153+D154</f>
        <v>118131.1789241826</v>
      </c>
      <c r="E155" s="436">
        <f t="shared" ref="E155:M155" si="63">E152+E153+E154</f>
        <v>1270411.28720209</v>
      </c>
      <c r="F155" s="436">
        <f t="shared" si="63"/>
        <v>2657763.6476315758</v>
      </c>
      <c r="G155" s="436">
        <f t="shared" si="63"/>
        <v>4072601.8306872691</v>
      </c>
      <c r="H155" s="436">
        <f t="shared" si="63"/>
        <v>5646228.6982382014</v>
      </c>
      <c r="I155" s="436">
        <f t="shared" si="63"/>
        <v>7349293.1719495896</v>
      </c>
      <c r="J155" s="436">
        <f t="shared" si="63"/>
        <v>9162036.2555877343</v>
      </c>
      <c r="K155" s="436">
        <f t="shared" si="63"/>
        <v>11101047.248513833</v>
      </c>
      <c r="L155" s="436">
        <f t="shared" si="63"/>
        <v>13148341.61420521</v>
      </c>
      <c r="M155" s="436">
        <f t="shared" si="63"/>
        <v>15276481.909050919</v>
      </c>
      <c r="N155" s="402"/>
      <c r="O155" s="402"/>
      <c r="P155" s="402"/>
      <c r="Q155" s="401"/>
    </row>
    <row r="156" spans="1:17">
      <c r="A156" s="361" t="s">
        <v>350</v>
      </c>
      <c r="B156" s="383"/>
      <c r="C156" s="427"/>
      <c r="D156" s="434">
        <f t="shared" ref="D156:M156" si="64">SUM(D147:D148)-D155</f>
        <v>983406.95084247878</v>
      </c>
      <c r="E156" s="434">
        <f t="shared" si="64"/>
        <v>1031166.0059541208</v>
      </c>
      <c r="F156" s="434">
        <f t="shared" si="64"/>
        <v>871190.87308483571</v>
      </c>
      <c r="G156" s="434">
        <f t="shared" si="64"/>
        <v>818714.73829400586</v>
      </c>
      <c r="H156" s="434">
        <f t="shared" si="64"/>
        <v>746410.19376042858</v>
      </c>
      <c r="I156" s="434">
        <f t="shared" si="64"/>
        <v>622257.55460298993</v>
      </c>
      <c r="J156" s="434">
        <f t="shared" si="64"/>
        <v>492687.16242585517</v>
      </c>
      <c r="K156" s="434">
        <f t="shared" si="64"/>
        <v>333224.20674731582</v>
      </c>
      <c r="L156" s="434">
        <f t="shared" si="64"/>
        <v>135545.92633007467</v>
      </c>
      <c r="M156" s="434">
        <f t="shared" si="64"/>
        <v>-107020.97646784969</v>
      </c>
      <c r="N156" s="401"/>
      <c r="O156" s="401"/>
      <c r="P156" s="401"/>
      <c r="Q156" s="401"/>
    </row>
    <row r="157" spans="1:17" ht="14.25" customHeight="1" thickBot="1">
      <c r="A157" s="361"/>
      <c r="B157" s="383"/>
      <c r="C157" s="427"/>
      <c r="D157" s="434"/>
      <c r="E157" s="434"/>
      <c r="F157" s="434"/>
      <c r="G157" s="434"/>
      <c r="H157" s="434"/>
      <c r="I157" s="434"/>
      <c r="J157" s="434"/>
      <c r="K157" s="434"/>
      <c r="L157" s="434"/>
      <c r="M157" s="434"/>
      <c r="N157" s="401"/>
      <c r="O157" s="401"/>
      <c r="P157" s="401"/>
      <c r="Q157" s="401"/>
    </row>
    <row r="158" spans="1:17" ht="23.25" thickBot="1">
      <c r="A158" s="375" t="s">
        <v>349</v>
      </c>
      <c r="B158" s="383"/>
      <c r="C158" s="427"/>
      <c r="D158" s="434"/>
      <c r="E158" s="434"/>
      <c r="F158" s="434"/>
      <c r="G158" s="434"/>
      <c r="H158" s="434"/>
      <c r="I158" s="434" t="s">
        <v>306</v>
      </c>
      <c r="J158" s="434"/>
      <c r="K158" s="358"/>
      <c r="L158" s="358"/>
      <c r="M158" s="434"/>
      <c r="N158" s="401"/>
      <c r="O158" s="401"/>
      <c r="P158" s="401"/>
      <c r="Q158" s="401"/>
    </row>
    <row r="159" spans="1:17">
      <c r="A159" s="368" t="s">
        <v>348</v>
      </c>
      <c r="B159" s="383"/>
      <c r="C159" s="427"/>
      <c r="D159" s="434">
        <f t="shared" ref="D159:M159" si="65">IF((C239+D143+D147-D155-D162+D169-D$70)&gt;0,0,-(C239+D143+D147-D155-D162+D169-D$70))*(1-$C$17)</f>
        <v>1193.4799999999927</v>
      </c>
      <c r="E159" s="434">
        <f t="shared" si="65"/>
        <v>1677.7532848872415</v>
      </c>
      <c r="F159" s="434">
        <f t="shared" si="65"/>
        <v>2293.6857094238621</v>
      </c>
      <c r="G159" s="434">
        <f t="shared" si="65"/>
        <v>3067.9840545227803</v>
      </c>
      <c r="H159" s="434">
        <f t="shared" si="65"/>
        <v>2983.5665196179466</v>
      </c>
      <c r="I159" s="434">
        <f t="shared" si="65"/>
        <v>3599.5747813058892</v>
      </c>
      <c r="J159" s="434">
        <f t="shared" si="65"/>
        <v>3574.8051277409531</v>
      </c>
      <c r="K159" s="434">
        <f t="shared" si="65"/>
        <v>4196.8231610274979</v>
      </c>
      <c r="L159" s="434">
        <f t="shared" si="65"/>
        <v>4851.3539957261164</v>
      </c>
      <c r="M159" s="434">
        <f t="shared" si="65"/>
        <v>5516.1664103980047</v>
      </c>
      <c r="N159" s="401"/>
      <c r="O159" s="401"/>
      <c r="P159" s="401"/>
      <c r="Q159" s="401"/>
    </row>
    <row r="160" spans="1:17">
      <c r="A160" s="361" t="s">
        <v>347</v>
      </c>
      <c r="B160" s="383"/>
      <c r="C160" s="427"/>
      <c r="D160" s="434">
        <f>D233</f>
        <v>0</v>
      </c>
      <c r="E160" s="434">
        <f>D233</f>
        <v>0</v>
      </c>
      <c r="F160" s="434">
        <f>E233</f>
        <v>0</v>
      </c>
      <c r="G160" s="434">
        <f>F233</f>
        <v>0</v>
      </c>
      <c r="H160" s="434">
        <f>G233</f>
        <v>0</v>
      </c>
      <c r="I160" s="434">
        <f>H233</f>
        <v>0</v>
      </c>
      <c r="J160" s="434">
        <f t="shared" ref="J160:M160" si="66">I233</f>
        <v>0</v>
      </c>
      <c r="K160" s="434">
        <f t="shared" si="66"/>
        <v>0</v>
      </c>
      <c r="L160" s="434">
        <f t="shared" si="66"/>
        <v>0</v>
      </c>
      <c r="M160" s="434">
        <f t="shared" si="66"/>
        <v>0</v>
      </c>
      <c r="N160" s="401"/>
      <c r="O160" s="401"/>
      <c r="P160" s="401"/>
      <c r="Q160" s="401"/>
    </row>
    <row r="161" spans="1:17">
      <c r="A161" s="361" t="s">
        <v>346</v>
      </c>
      <c r="B161" s="383"/>
      <c r="C161" s="427"/>
      <c r="D161" s="434">
        <f>D235</f>
        <v>0</v>
      </c>
      <c r="E161" s="434">
        <f>E235</f>
        <v>0</v>
      </c>
      <c r="F161" s="434">
        <f>F235</f>
        <v>0</v>
      </c>
      <c r="G161" s="434">
        <f>G235</f>
        <v>0</v>
      </c>
      <c r="H161" s="434">
        <f>H235</f>
        <v>0</v>
      </c>
      <c r="I161" s="434">
        <f t="shared" ref="I161:M161" si="67">I235</f>
        <v>0</v>
      </c>
      <c r="J161" s="434">
        <f t="shared" si="67"/>
        <v>0</v>
      </c>
      <c r="K161" s="434">
        <f t="shared" si="67"/>
        <v>0</v>
      </c>
      <c r="L161" s="434">
        <f t="shared" si="67"/>
        <v>0</v>
      </c>
      <c r="M161" s="434">
        <f t="shared" si="67"/>
        <v>0</v>
      </c>
      <c r="N161" s="401"/>
      <c r="O161" s="401"/>
      <c r="P161" s="401"/>
      <c r="Q161" s="401"/>
    </row>
    <row r="162" spans="1:17">
      <c r="A162" s="368" t="s">
        <v>345</v>
      </c>
      <c r="B162" s="383"/>
      <c r="C162" s="427"/>
      <c r="D162" s="434">
        <f>D161+D160</f>
        <v>0</v>
      </c>
      <c r="E162" s="434">
        <f>E161+E160</f>
        <v>0</v>
      </c>
      <c r="F162" s="434">
        <f>F161+F160</f>
        <v>0</v>
      </c>
      <c r="G162" s="434">
        <f>G161+G160</f>
        <v>0</v>
      </c>
      <c r="H162" s="434">
        <f>H161+H160</f>
        <v>0</v>
      </c>
      <c r="I162" s="434">
        <f t="shared" ref="I162:M162" si="68">I161+I160</f>
        <v>0</v>
      </c>
      <c r="J162" s="434">
        <f t="shared" si="68"/>
        <v>0</v>
      </c>
      <c r="K162" s="434">
        <f t="shared" si="68"/>
        <v>0</v>
      </c>
      <c r="L162" s="434">
        <f t="shared" si="68"/>
        <v>0</v>
      </c>
      <c r="M162" s="434">
        <f t="shared" si="68"/>
        <v>0</v>
      </c>
      <c r="N162" s="401"/>
      <c r="O162" s="401"/>
      <c r="P162" s="401"/>
      <c r="Q162" s="401"/>
    </row>
    <row r="163" spans="1:17" ht="22.5">
      <c r="A163" s="361" t="s">
        <v>344</v>
      </c>
      <c r="B163" s="383"/>
      <c r="C163" s="427"/>
      <c r="D163" s="434">
        <f>D159-D160-D161</f>
        <v>1193.4799999999927</v>
      </c>
      <c r="E163" s="434">
        <f>E159-E160-E161</f>
        <v>1677.7532848872415</v>
      </c>
      <c r="F163" s="434">
        <f>F159-F160-F161</f>
        <v>2293.6857094238621</v>
      </c>
      <c r="G163" s="434">
        <f>G159-G160-G161</f>
        <v>3067.9840545227803</v>
      </c>
      <c r="H163" s="434">
        <f>H159-H160-H161</f>
        <v>2983.5665196179466</v>
      </c>
      <c r="I163" s="434">
        <f t="shared" ref="I163:M163" si="69">I159-I160-I161</f>
        <v>3599.5747813058892</v>
      </c>
      <c r="J163" s="434">
        <f t="shared" si="69"/>
        <v>3574.8051277409531</v>
      </c>
      <c r="K163" s="434">
        <f t="shared" si="69"/>
        <v>4196.8231610274979</v>
      </c>
      <c r="L163" s="434">
        <f t="shared" si="69"/>
        <v>4851.3539957261164</v>
      </c>
      <c r="M163" s="434">
        <f t="shared" si="69"/>
        <v>5516.1664103980047</v>
      </c>
      <c r="N163" s="401"/>
      <c r="O163" s="401"/>
      <c r="P163" s="401"/>
      <c r="Q163" s="401"/>
    </row>
    <row r="164" spans="1:17">
      <c r="A164" s="361" t="s">
        <v>343</v>
      </c>
      <c r="B164" s="383"/>
      <c r="C164" s="427"/>
      <c r="D164" s="434">
        <f t="shared" ref="D164:M164" si="70">D163+D156+D143</f>
        <v>25209.779113970115</v>
      </c>
      <c r="E164" s="434">
        <f t="shared" si="70"/>
        <v>22340.847420526901</v>
      </c>
      <c r="F164" s="434">
        <f t="shared" si="70"/>
        <v>25856.969325515791</v>
      </c>
      <c r="G164" s="434">
        <f t="shared" si="70"/>
        <v>29738.876291670604</v>
      </c>
      <c r="H164" s="434">
        <f t="shared" si="70"/>
        <v>34443.536271927063</v>
      </c>
      <c r="I164" s="434">
        <f t="shared" si="70"/>
        <v>38481.556245604879</v>
      </c>
      <c r="J164" s="434">
        <f t="shared" si="70"/>
        <v>44353.988677255693</v>
      </c>
      <c r="K164" s="434">
        <f t="shared" si="70"/>
        <v>51122.576722890371</v>
      </c>
      <c r="L164" s="434">
        <f t="shared" si="70"/>
        <v>58924.077151328704</v>
      </c>
      <c r="M164" s="434">
        <f t="shared" si="70"/>
        <v>67916.116336544394</v>
      </c>
      <c r="N164" s="401"/>
      <c r="O164" s="401"/>
      <c r="P164" s="401"/>
      <c r="Q164" s="401"/>
    </row>
    <row r="165" spans="1:17" ht="12" thickBot="1">
      <c r="A165" s="361"/>
      <c r="B165" s="383"/>
      <c r="C165" s="427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01"/>
      <c r="O165" s="401"/>
      <c r="P165" s="401"/>
      <c r="Q165" s="401"/>
    </row>
    <row r="166" spans="1:17" ht="23.25" thickBot="1">
      <c r="A166" s="374" t="s">
        <v>342</v>
      </c>
      <c r="B166" s="383"/>
      <c r="C166" s="427"/>
      <c r="D166" s="434"/>
      <c r="E166" s="442"/>
      <c r="F166" s="443"/>
      <c r="G166" s="434"/>
      <c r="H166" s="434"/>
      <c r="I166" s="434" t="s">
        <v>306</v>
      </c>
      <c r="J166" s="434"/>
      <c r="K166" s="358"/>
      <c r="L166" s="444"/>
      <c r="M166" s="434"/>
      <c r="N166" s="401"/>
      <c r="O166" s="401"/>
      <c r="P166" s="401"/>
      <c r="Q166" s="401"/>
    </row>
    <row r="167" spans="1:17" ht="22.5">
      <c r="A167" s="368" t="s">
        <v>341</v>
      </c>
      <c r="B167" s="383"/>
      <c r="C167" s="427"/>
      <c r="D167" s="415">
        <f>C240</f>
        <v>42000</v>
      </c>
      <c r="E167" s="434">
        <f>D170</f>
        <v>0</v>
      </c>
      <c r="F167" s="434">
        <f>E170</f>
        <v>1.1641532182693481E-10</v>
      </c>
      <c r="G167" s="434">
        <f>F170</f>
        <v>0</v>
      </c>
      <c r="H167" s="434">
        <f>G170</f>
        <v>2.9103830456733704E-10</v>
      </c>
      <c r="I167" s="434">
        <f t="shared" ref="I167:L167" si="71">H170</f>
        <v>1.1641532182693481E-10</v>
      </c>
      <c r="J167" s="434">
        <f t="shared" si="71"/>
        <v>0</v>
      </c>
      <c r="K167" s="434">
        <f t="shared" si="71"/>
        <v>0</v>
      </c>
      <c r="L167" s="434">
        <f t="shared" si="71"/>
        <v>0</v>
      </c>
      <c r="M167" s="434">
        <f>L170</f>
        <v>0</v>
      </c>
      <c r="N167" s="401"/>
      <c r="O167" s="401"/>
      <c r="P167" s="401"/>
      <c r="Q167" s="401"/>
    </row>
    <row r="168" spans="1:17" ht="22.5">
      <c r="A168" s="361" t="s">
        <v>340</v>
      </c>
      <c r="B168" s="383"/>
      <c r="C168" s="427"/>
      <c r="D168" s="434">
        <f t="shared" ref="D168:M168" si="72">D68*D167</f>
        <v>4439.3959274153176</v>
      </c>
      <c r="E168" s="434">
        <f t="shared" si="72"/>
        <v>0</v>
      </c>
      <c r="F168" s="434">
        <f t="shared" si="72"/>
        <v>1.2267172435105478E-11</v>
      </c>
      <c r="G168" s="434">
        <f t="shared" si="72"/>
        <v>0</v>
      </c>
      <c r="H168" s="434">
        <f t="shared" si="72"/>
        <v>3.0304571398730372E-11</v>
      </c>
      <c r="I168" s="434">
        <f t="shared" si="72"/>
        <v>1.1489898665521201E-11</v>
      </c>
      <c r="J168" s="434">
        <f t="shared" si="72"/>
        <v>0</v>
      </c>
      <c r="K168" s="434">
        <f t="shared" si="72"/>
        <v>0</v>
      </c>
      <c r="L168" s="434">
        <f t="shared" si="72"/>
        <v>0</v>
      </c>
      <c r="M168" s="434">
        <f t="shared" si="72"/>
        <v>0</v>
      </c>
      <c r="N168" s="401"/>
      <c r="O168" s="401"/>
      <c r="P168" s="401"/>
      <c r="Q168" s="401"/>
    </row>
    <row r="169" spans="1:17" ht="22.5">
      <c r="A169" s="361" t="s">
        <v>339</v>
      </c>
      <c r="B169" s="383"/>
      <c r="C169" s="427"/>
      <c r="D169" s="434">
        <f>D168+D167</f>
        <v>46439.395927415317</v>
      </c>
      <c r="E169" s="434">
        <f>E168+E167</f>
        <v>0</v>
      </c>
      <c r="F169" s="434">
        <f>F168+F167</f>
        <v>1.2868249426204029E-10</v>
      </c>
      <c r="G169" s="434">
        <f>G168+G167</f>
        <v>0</v>
      </c>
      <c r="H169" s="434">
        <f>H168+H167</f>
        <v>3.2134287596606743E-10</v>
      </c>
      <c r="I169" s="434">
        <f t="shared" ref="I169:M169" si="73">I168+I167</f>
        <v>1.2790522049245601E-10</v>
      </c>
      <c r="J169" s="434">
        <f t="shared" si="73"/>
        <v>0</v>
      </c>
      <c r="K169" s="434">
        <f t="shared" si="73"/>
        <v>0</v>
      </c>
      <c r="L169" s="434">
        <f t="shared" si="73"/>
        <v>0</v>
      </c>
      <c r="M169" s="434">
        <f t="shared" si="73"/>
        <v>0</v>
      </c>
      <c r="N169" s="401"/>
      <c r="O169" s="401"/>
      <c r="P169" s="401"/>
      <c r="Q169" s="401"/>
    </row>
    <row r="170" spans="1:17" ht="17.25" customHeight="1">
      <c r="A170" s="361" t="s">
        <v>308</v>
      </c>
      <c r="B170" s="383"/>
      <c r="C170" s="427"/>
      <c r="D170" s="434">
        <f t="shared" ref="D170:M170" si="74">IF(C173+D164+D169-D70&gt;0,C173+D164+D169-D70,0)</f>
        <v>0</v>
      </c>
      <c r="E170" s="434">
        <f t="shared" si="74"/>
        <v>1.1641532182693481E-10</v>
      </c>
      <c r="F170" s="434">
        <f t="shared" si="74"/>
        <v>0</v>
      </c>
      <c r="G170" s="434">
        <f t="shared" si="74"/>
        <v>2.9103830456733704E-10</v>
      </c>
      <c r="H170" s="434">
        <f t="shared" si="74"/>
        <v>1.1641532182693481E-10</v>
      </c>
      <c r="I170" s="434">
        <f t="shared" si="74"/>
        <v>0</v>
      </c>
      <c r="J170" s="434">
        <f t="shared" si="74"/>
        <v>0</v>
      </c>
      <c r="K170" s="434">
        <f t="shared" si="74"/>
        <v>0</v>
      </c>
      <c r="L170" s="434">
        <f t="shared" si="74"/>
        <v>0</v>
      </c>
      <c r="M170" s="434">
        <f t="shared" si="74"/>
        <v>7.5669959187507629E-10</v>
      </c>
      <c r="N170" s="401"/>
      <c r="O170" s="401"/>
      <c r="P170" s="401"/>
      <c r="Q170" s="401"/>
    </row>
    <row r="171" spans="1:17" ht="22.5">
      <c r="A171" s="361" t="s">
        <v>338</v>
      </c>
      <c r="B171" s="383"/>
      <c r="C171" s="427"/>
      <c r="D171" s="434">
        <f>D169-D170</f>
        <v>46439.395927415317</v>
      </c>
      <c r="E171" s="434">
        <f>E169-E170</f>
        <v>-1.1641532182693481E-10</v>
      </c>
      <c r="F171" s="434">
        <f>F169-F170</f>
        <v>1.2868249426204029E-10</v>
      </c>
      <c r="G171" s="434">
        <f>G169-G170</f>
        <v>-2.9103830456733704E-10</v>
      </c>
      <c r="H171" s="434">
        <f>H169-H170</f>
        <v>2.0492755413913261E-10</v>
      </c>
      <c r="I171" s="434">
        <f t="shared" ref="I171:M171" si="75">I169-I170</f>
        <v>1.2790522049245601E-10</v>
      </c>
      <c r="J171" s="434">
        <f t="shared" si="75"/>
        <v>0</v>
      </c>
      <c r="K171" s="434">
        <f t="shared" si="75"/>
        <v>0</v>
      </c>
      <c r="L171" s="434">
        <f t="shared" si="75"/>
        <v>0</v>
      </c>
      <c r="M171" s="434">
        <f t="shared" si="75"/>
        <v>-7.5669959187507629E-10</v>
      </c>
      <c r="N171" s="401"/>
      <c r="O171" s="401"/>
      <c r="P171" s="401"/>
      <c r="Q171" s="401"/>
    </row>
    <row r="172" spans="1:17">
      <c r="A172" s="361" t="s">
        <v>337</v>
      </c>
      <c r="B172" s="383"/>
      <c r="C172" s="427"/>
      <c r="D172" s="434">
        <f>D164+D171</f>
        <v>71649.175041385432</v>
      </c>
      <c r="E172" s="434">
        <f>E164+E171</f>
        <v>22340.847420526785</v>
      </c>
      <c r="F172" s="434">
        <f>F164+F171</f>
        <v>25856.969325515918</v>
      </c>
      <c r="G172" s="434">
        <f>G164+G171</f>
        <v>29738.876291670313</v>
      </c>
      <c r="H172" s="434">
        <f>H164+H171</f>
        <v>34443.536271927267</v>
      </c>
      <c r="I172" s="434">
        <f t="shared" ref="I172:M172" si="76">I164+I171</f>
        <v>38481.55624560501</v>
      </c>
      <c r="J172" s="434">
        <f t="shared" si="76"/>
        <v>44353.988677255693</v>
      </c>
      <c r="K172" s="434">
        <f t="shared" si="76"/>
        <v>51122.576722890371</v>
      </c>
      <c r="L172" s="434">
        <f t="shared" si="76"/>
        <v>58924.077151328704</v>
      </c>
      <c r="M172" s="434">
        <f t="shared" si="76"/>
        <v>67916.116336543637</v>
      </c>
      <c r="N172" s="401"/>
      <c r="O172" s="401"/>
      <c r="P172" s="401"/>
      <c r="Q172" s="401"/>
    </row>
    <row r="173" spans="1:17">
      <c r="A173" s="361" t="s">
        <v>336</v>
      </c>
      <c r="B173" s="383"/>
      <c r="C173" s="434">
        <f>C239</f>
        <v>68137</v>
      </c>
      <c r="D173" s="434">
        <f>C239+D172</f>
        <v>139786.17504138543</v>
      </c>
      <c r="E173" s="434">
        <f>D173+E172</f>
        <v>162127.02246191222</v>
      </c>
      <c r="F173" s="434">
        <f>E173+F172</f>
        <v>187983.99178742812</v>
      </c>
      <c r="G173" s="434">
        <f>F173+G172</f>
        <v>217722.86807909844</v>
      </c>
      <c r="H173" s="434">
        <f>G173+H172</f>
        <v>252166.4043510257</v>
      </c>
      <c r="I173" s="434">
        <f t="shared" ref="I173:L173" si="77">H173+I172</f>
        <v>290647.9605966307</v>
      </c>
      <c r="J173" s="434">
        <f t="shared" si="77"/>
        <v>335001.94927388639</v>
      </c>
      <c r="K173" s="434">
        <f t="shared" si="77"/>
        <v>386124.52599677676</v>
      </c>
      <c r="L173" s="434">
        <f t="shared" si="77"/>
        <v>445048.60314810544</v>
      </c>
      <c r="M173" s="434">
        <f>L173+M172</f>
        <v>512964.71948464907</v>
      </c>
      <c r="N173" s="401"/>
      <c r="O173" s="401"/>
      <c r="P173" s="401"/>
      <c r="Q173" s="401"/>
    </row>
    <row r="174" spans="1:17">
      <c r="A174" s="361"/>
      <c r="B174" s="383"/>
      <c r="C174" s="427"/>
      <c r="D174" s="445"/>
      <c r="E174" s="445"/>
      <c r="F174" s="445"/>
      <c r="G174" s="445"/>
      <c r="H174" s="445"/>
      <c r="I174" s="445" t="s">
        <v>306</v>
      </c>
      <c r="J174" s="445"/>
      <c r="K174" s="358"/>
      <c r="L174" s="358"/>
      <c r="M174" s="382"/>
    </row>
    <row r="175" spans="1:17" s="461" customFormat="1" ht="22.5">
      <c r="A175" s="459" t="s">
        <v>335</v>
      </c>
      <c r="B175" s="453"/>
      <c r="C175" s="454"/>
      <c r="D175" s="455">
        <f t="shared" ref="D175:M175" si="78">D70</f>
        <v>139786.17504138555</v>
      </c>
      <c r="E175" s="455">
        <f t="shared" si="78"/>
        <v>162127.02246191222</v>
      </c>
      <c r="F175" s="455">
        <f t="shared" si="78"/>
        <v>187983.99178742821</v>
      </c>
      <c r="G175" s="455">
        <f t="shared" si="78"/>
        <v>217722.86807909844</v>
      </c>
      <c r="H175" s="455">
        <f t="shared" si="78"/>
        <v>252166.4043510257</v>
      </c>
      <c r="I175" s="455">
        <f t="shared" si="78"/>
        <v>290647.96059663134</v>
      </c>
      <c r="J175" s="455">
        <f t="shared" si="78"/>
        <v>335001.94927388767</v>
      </c>
      <c r="K175" s="455">
        <f t="shared" si="78"/>
        <v>386124.52599677775</v>
      </c>
      <c r="L175" s="455">
        <f t="shared" si="78"/>
        <v>445048.60314810579</v>
      </c>
      <c r="M175" s="455">
        <f t="shared" si="78"/>
        <v>512964.71948464907</v>
      </c>
      <c r="N175" s="460"/>
      <c r="O175" s="460"/>
    </row>
    <row r="176" spans="1:17" s="392" customFormat="1">
      <c r="A176" s="366"/>
      <c r="B176" s="385"/>
      <c r="C176" s="427"/>
      <c r="D176" s="436"/>
      <c r="E176" s="436"/>
      <c r="F176" s="436"/>
      <c r="G176" s="436"/>
      <c r="H176" s="436"/>
      <c r="I176" s="436"/>
      <c r="J176" s="436"/>
      <c r="K176" s="436"/>
      <c r="L176" s="436"/>
      <c r="M176" s="436"/>
      <c r="N176" s="402"/>
      <c r="O176" s="402"/>
    </row>
    <row r="177" spans="1:17" ht="12" thickBot="1">
      <c r="A177" s="351"/>
      <c r="P177" s="389"/>
      <c r="Q177" s="389"/>
    </row>
    <row r="178" spans="1:17" ht="12" thickBot="1">
      <c r="A178" s="457" t="s">
        <v>1241</v>
      </c>
      <c r="B178" s="456" t="s">
        <v>311</v>
      </c>
      <c r="C178" s="382">
        <v>0</v>
      </c>
      <c r="D178" s="348">
        <v>1</v>
      </c>
      <c r="E178" s="348">
        <v>2</v>
      </c>
      <c r="F178" s="348">
        <v>3</v>
      </c>
      <c r="G178" s="348">
        <v>4</v>
      </c>
      <c r="H178" s="348">
        <v>5</v>
      </c>
      <c r="I178" s="348">
        <v>6</v>
      </c>
      <c r="J178" s="348">
        <v>7</v>
      </c>
      <c r="K178" s="446">
        <v>8</v>
      </c>
      <c r="L178" s="447">
        <v>9</v>
      </c>
      <c r="M178" s="447">
        <v>10</v>
      </c>
    </row>
    <row r="179" spans="1:17">
      <c r="A179" s="354" t="s">
        <v>334</v>
      </c>
      <c r="B179" s="383"/>
      <c r="C179" s="427"/>
      <c r="D179" s="421">
        <f>C15</f>
        <v>102083</v>
      </c>
      <c r="E179" s="421">
        <f>D183</f>
        <v>0</v>
      </c>
      <c r="F179" s="421">
        <f t="shared" ref="F179:M179" si="79">E183</f>
        <v>0</v>
      </c>
      <c r="G179" s="421">
        <f t="shared" si="79"/>
        <v>0</v>
      </c>
      <c r="H179" s="421">
        <f t="shared" si="79"/>
        <v>0</v>
      </c>
      <c r="I179" s="421">
        <f>H183</f>
        <v>0</v>
      </c>
      <c r="J179" s="421">
        <f t="shared" si="79"/>
        <v>0</v>
      </c>
      <c r="K179" s="421">
        <f t="shared" si="79"/>
        <v>0</v>
      </c>
      <c r="L179" s="421">
        <f t="shared" si="79"/>
        <v>0</v>
      </c>
      <c r="M179" s="421">
        <f t="shared" si="79"/>
        <v>0</v>
      </c>
      <c r="N179" s="393"/>
      <c r="O179" s="393"/>
      <c r="P179" s="389"/>
      <c r="Q179" s="389"/>
    </row>
    <row r="180" spans="1:17">
      <c r="A180" s="354" t="s">
        <v>333</v>
      </c>
      <c r="B180" s="383"/>
      <c r="C180" s="427"/>
      <c r="D180" s="434">
        <f>D179*D184</f>
        <v>16048.17892418261</v>
      </c>
      <c r="E180" s="434">
        <f t="shared" ref="E180:M180" si="80">E179*E184</f>
        <v>0</v>
      </c>
      <c r="F180" s="434">
        <f t="shared" si="80"/>
        <v>0</v>
      </c>
      <c r="G180" s="434">
        <f t="shared" si="80"/>
        <v>0</v>
      </c>
      <c r="H180" s="434">
        <f t="shared" si="80"/>
        <v>0</v>
      </c>
      <c r="I180" s="434">
        <f t="shared" si="80"/>
        <v>0</v>
      </c>
      <c r="J180" s="434">
        <f t="shared" si="80"/>
        <v>0</v>
      </c>
      <c r="K180" s="434">
        <f t="shared" si="80"/>
        <v>0</v>
      </c>
      <c r="L180" s="434">
        <f t="shared" si="80"/>
        <v>0</v>
      </c>
      <c r="M180" s="434">
        <f t="shared" si="80"/>
        <v>0</v>
      </c>
      <c r="N180" s="401"/>
      <c r="O180" s="401"/>
      <c r="P180" s="389"/>
      <c r="Q180" s="389"/>
    </row>
    <row r="181" spans="1:17">
      <c r="A181" s="354" t="s">
        <v>332</v>
      </c>
      <c r="B181" s="383"/>
      <c r="C181" s="427"/>
      <c r="D181" s="434">
        <f>D179/$C$16</f>
        <v>102083</v>
      </c>
      <c r="E181" s="434">
        <f t="shared" ref="E181:M181" si="81">E179/$C$16</f>
        <v>0</v>
      </c>
      <c r="F181" s="434">
        <f t="shared" si="81"/>
        <v>0</v>
      </c>
      <c r="G181" s="434">
        <f t="shared" si="81"/>
        <v>0</v>
      </c>
      <c r="H181" s="434">
        <f t="shared" si="81"/>
        <v>0</v>
      </c>
      <c r="I181" s="434">
        <f t="shared" si="81"/>
        <v>0</v>
      </c>
      <c r="J181" s="434">
        <f t="shared" si="81"/>
        <v>0</v>
      </c>
      <c r="K181" s="434">
        <f t="shared" si="81"/>
        <v>0</v>
      </c>
      <c r="L181" s="434">
        <f t="shared" si="81"/>
        <v>0</v>
      </c>
      <c r="M181" s="434">
        <f t="shared" si="81"/>
        <v>0</v>
      </c>
      <c r="N181" s="401"/>
      <c r="O181" s="401"/>
      <c r="P181" s="389"/>
      <c r="Q181" s="389"/>
    </row>
    <row r="182" spans="1:17">
      <c r="A182" s="354" t="s">
        <v>331</v>
      </c>
      <c r="B182" s="383"/>
      <c r="C182" s="427"/>
      <c r="D182" s="434">
        <f>SUM(D180:D181)</f>
        <v>118131.1789241826</v>
      </c>
      <c r="E182" s="434">
        <f t="shared" ref="E182:M182" si="82">SUM(E180:E181)</f>
        <v>0</v>
      </c>
      <c r="F182" s="434">
        <f t="shared" si="82"/>
        <v>0</v>
      </c>
      <c r="G182" s="434">
        <f t="shared" si="82"/>
        <v>0</v>
      </c>
      <c r="H182" s="434">
        <f t="shared" si="82"/>
        <v>0</v>
      </c>
      <c r="I182" s="434">
        <f t="shared" si="82"/>
        <v>0</v>
      </c>
      <c r="J182" s="434">
        <f t="shared" si="82"/>
        <v>0</v>
      </c>
      <c r="K182" s="434">
        <f t="shared" si="82"/>
        <v>0</v>
      </c>
      <c r="L182" s="434">
        <f t="shared" si="82"/>
        <v>0</v>
      </c>
      <c r="M182" s="434">
        <f t="shared" si="82"/>
        <v>0</v>
      </c>
      <c r="N182" s="401"/>
      <c r="O182" s="401"/>
      <c r="P182" s="389"/>
      <c r="Q182" s="389"/>
    </row>
    <row r="183" spans="1:17">
      <c r="A183" s="354" t="s">
        <v>330</v>
      </c>
      <c r="B183" s="383"/>
      <c r="C183" s="427"/>
      <c r="D183" s="434">
        <f>D179-D181</f>
        <v>0</v>
      </c>
      <c r="E183" s="434">
        <f t="shared" ref="E183:M183" si="83">E179-E181</f>
        <v>0</v>
      </c>
      <c r="F183" s="434">
        <f t="shared" si="83"/>
        <v>0</v>
      </c>
      <c r="G183" s="434">
        <f t="shared" si="83"/>
        <v>0</v>
      </c>
      <c r="H183" s="434">
        <f t="shared" si="83"/>
        <v>0</v>
      </c>
      <c r="I183" s="434">
        <f t="shared" si="83"/>
        <v>0</v>
      </c>
      <c r="J183" s="434">
        <f t="shared" si="83"/>
        <v>0</v>
      </c>
      <c r="K183" s="434">
        <f t="shared" si="83"/>
        <v>0</v>
      </c>
      <c r="L183" s="434">
        <f t="shared" si="83"/>
        <v>0</v>
      </c>
      <c r="M183" s="434">
        <f t="shared" si="83"/>
        <v>0</v>
      </c>
      <c r="N183" s="401"/>
      <c r="O183" s="401"/>
      <c r="P183" s="389"/>
      <c r="Q183" s="389"/>
    </row>
    <row r="184" spans="1:17">
      <c r="A184" s="354" t="s">
        <v>329</v>
      </c>
      <c r="B184" s="383"/>
      <c r="C184" s="427"/>
      <c r="D184" s="419">
        <f>D69</f>
        <v>0.15720716401538562</v>
      </c>
      <c r="E184" s="419">
        <f>E69</f>
        <v>0.15720716401538562</v>
      </c>
      <c r="F184" s="419">
        <f>F69</f>
        <v>0.156881469828029</v>
      </c>
      <c r="G184" s="419">
        <f>G69</f>
        <v>0.15563297544316271</v>
      </c>
      <c r="H184" s="419">
        <f>H69</f>
        <v>0.15563297544316271</v>
      </c>
      <c r="I184" s="419">
        <f t="shared" ref="I184:M184" si="84">I69</f>
        <v>0.15020473898722278</v>
      </c>
      <c r="J184" s="419">
        <f t="shared" si="84"/>
        <v>0.15020473898722278</v>
      </c>
      <c r="K184" s="419">
        <f t="shared" si="84"/>
        <v>0.15020473898722278</v>
      </c>
      <c r="L184" s="419">
        <f t="shared" si="84"/>
        <v>0.15020473898722278</v>
      </c>
      <c r="M184" s="419">
        <f t="shared" si="84"/>
        <v>0.15020473898722278</v>
      </c>
      <c r="N184" s="391"/>
      <c r="O184" s="391"/>
      <c r="P184" s="389"/>
      <c r="Q184" s="389"/>
    </row>
    <row r="185" spans="1:17" ht="12" thickBot="1">
      <c r="B185" s="383"/>
      <c r="C185" s="427"/>
      <c r="D185" s="434"/>
      <c r="E185" s="434"/>
      <c r="F185" s="434"/>
      <c r="G185" s="434"/>
      <c r="H185" s="434"/>
      <c r="I185" s="434"/>
      <c r="J185" s="434"/>
      <c r="K185" s="358"/>
      <c r="L185" s="358"/>
      <c r="M185" s="352"/>
      <c r="N185" s="389"/>
      <c r="O185" s="389"/>
      <c r="P185" s="389"/>
      <c r="Q185" s="389"/>
    </row>
    <row r="186" spans="1:17" ht="12" thickBot="1">
      <c r="A186" s="458" t="s">
        <v>1239</v>
      </c>
      <c r="B186" s="383"/>
      <c r="C186" s="427"/>
      <c r="D186" s="434"/>
      <c r="E186" s="434"/>
      <c r="F186" s="434"/>
      <c r="G186" s="434"/>
      <c r="H186" s="434"/>
      <c r="I186" s="434"/>
      <c r="J186" s="434"/>
      <c r="K186" s="358"/>
      <c r="L186" s="358"/>
      <c r="M186" s="352"/>
      <c r="N186" s="389"/>
      <c r="O186" s="389"/>
      <c r="P186" s="389"/>
      <c r="Q186" s="389"/>
    </row>
    <row r="187" spans="1:17">
      <c r="A187" s="354" t="s">
        <v>334</v>
      </c>
      <c r="B187" s="383"/>
      <c r="C187" s="427"/>
      <c r="D187" s="421">
        <f>C21</f>
        <v>0</v>
      </c>
      <c r="E187" s="421">
        <f>D191</f>
        <v>1096764.2097666615</v>
      </c>
      <c r="F187" s="421">
        <f t="shared" ref="F187" si="85">E191</f>
        <v>2294866.2800166616</v>
      </c>
      <c r="G187" s="421">
        <f t="shared" ref="G187" si="86">F191</f>
        <v>3519779.7778787161</v>
      </c>
      <c r="H187" s="421">
        <f t="shared" ref="H187" si="87">G191</f>
        <v>4879044.6327631837</v>
      </c>
      <c r="I187" s="421">
        <f>H191</f>
        <v>6380704.6259201579</v>
      </c>
      <c r="J187" s="421">
        <f t="shared" ref="J187" si="88">I191</f>
        <v>7957152.4274273561</v>
      </c>
      <c r="K187" s="421">
        <f t="shared" ref="K187" si="89">J191</f>
        <v>9640424.1975026261</v>
      </c>
      <c r="L187" s="421">
        <f t="shared" ref="L187" si="90">K191</f>
        <v>11417484.162617039</v>
      </c>
      <c r="M187" s="421">
        <f t="shared" ref="M187" si="91">L191</f>
        <v>13264482.12455238</v>
      </c>
      <c r="N187" s="393"/>
      <c r="O187" s="393"/>
      <c r="P187" s="389"/>
      <c r="Q187" s="389"/>
    </row>
    <row r="188" spans="1:17">
      <c r="A188" s="354" t="s">
        <v>333</v>
      </c>
      <c r="B188" s="383"/>
      <c r="C188" s="427"/>
      <c r="D188" s="434">
        <f>D187*D192</f>
        <v>0</v>
      </c>
      <c r="E188" s="434">
        <f>E187*E192</f>
        <v>172419.19101099236</v>
      </c>
      <c r="F188" s="434">
        <f t="shared" ref="F188:M188" si="92">F187*F192</f>
        <v>360021.99506779504</v>
      </c>
      <c r="G188" s="434">
        <f t="shared" si="92"/>
        <v>547793.7997359389</v>
      </c>
      <c r="H188" s="434">
        <f t="shared" si="92"/>
        <v>759340.23351692734</v>
      </c>
      <c r="I188" s="434">
        <f t="shared" si="92"/>
        <v>958412.07289090229</v>
      </c>
      <c r="J188" s="434">
        <f t="shared" si="92"/>
        <v>1195202.0034432721</v>
      </c>
      <c r="K188" s="434">
        <f t="shared" si="92"/>
        <v>1448037.4003119885</v>
      </c>
      <c r="L188" s="434">
        <f t="shared" si="92"/>
        <v>1714960.2285366422</v>
      </c>
      <c r="M188" s="434">
        <f t="shared" si="92"/>
        <v>1992388.0753190725</v>
      </c>
      <c r="N188" s="401"/>
      <c r="O188" s="401"/>
      <c r="P188" s="389"/>
      <c r="Q188" s="389"/>
    </row>
    <row r="189" spans="1:17">
      <c r="A189" s="354" t="s">
        <v>332</v>
      </c>
      <c r="B189" s="383"/>
      <c r="C189" s="427"/>
      <c r="D189" s="434">
        <f>D187/$C$16</f>
        <v>0</v>
      </c>
      <c r="E189" s="434">
        <f>E187/$C$16</f>
        <v>1096764.2097666615</v>
      </c>
      <c r="F189" s="434">
        <f t="shared" ref="F189:M189" si="93">F187/$C$16</f>
        <v>2294866.2800166616</v>
      </c>
      <c r="G189" s="434">
        <f t="shared" si="93"/>
        <v>3519779.7778787161</v>
      </c>
      <c r="H189" s="434">
        <f t="shared" si="93"/>
        <v>4879044.6327631837</v>
      </c>
      <c r="I189" s="434">
        <f t="shared" si="93"/>
        <v>6380704.6259201579</v>
      </c>
      <c r="J189" s="434">
        <f t="shared" si="93"/>
        <v>7957152.4274273561</v>
      </c>
      <c r="K189" s="434">
        <f t="shared" si="93"/>
        <v>9640424.1975026261</v>
      </c>
      <c r="L189" s="434">
        <f t="shared" si="93"/>
        <v>11417484.162617039</v>
      </c>
      <c r="M189" s="434">
        <f t="shared" si="93"/>
        <v>13264482.12455238</v>
      </c>
      <c r="N189" s="401"/>
      <c r="O189" s="401"/>
      <c r="P189" s="389"/>
      <c r="Q189" s="389"/>
    </row>
    <row r="190" spans="1:17">
      <c r="A190" s="354" t="s">
        <v>331</v>
      </c>
      <c r="B190" s="383"/>
      <c r="C190" s="427"/>
      <c r="D190" s="434">
        <f>SUM(D188:D189)</f>
        <v>0</v>
      </c>
      <c r="E190" s="434">
        <f>SUM(E188:E189)</f>
        <v>1269183.4007776538</v>
      </c>
      <c r="F190" s="434">
        <f t="shared" ref="F190:M190" si="94">SUM(F188:F189)</f>
        <v>2654888.2750844564</v>
      </c>
      <c r="G190" s="434">
        <f t="shared" si="94"/>
        <v>4067573.5776146548</v>
      </c>
      <c r="H190" s="434">
        <f t="shared" si="94"/>
        <v>5638384.8662801106</v>
      </c>
      <c r="I190" s="434">
        <f t="shared" si="94"/>
        <v>7339116.6988110598</v>
      </c>
      <c r="J190" s="434">
        <f t="shared" si="94"/>
        <v>9152354.430870628</v>
      </c>
      <c r="K190" s="434">
        <f t="shared" si="94"/>
        <v>11088461.597814614</v>
      </c>
      <c r="L190" s="434">
        <f t="shared" si="94"/>
        <v>13132444.391153682</v>
      </c>
      <c r="M190" s="434">
        <f t="shared" si="94"/>
        <v>15256870.199871453</v>
      </c>
      <c r="N190" s="401"/>
      <c r="O190" s="401"/>
      <c r="P190" s="389"/>
      <c r="Q190" s="389"/>
    </row>
    <row r="191" spans="1:17">
      <c r="A191" s="354" t="s">
        <v>330</v>
      </c>
      <c r="B191" s="383"/>
      <c r="C191" s="427"/>
      <c r="D191" s="434">
        <f>D147</f>
        <v>1096764.2097666615</v>
      </c>
      <c r="E191" s="434">
        <f t="shared" ref="E191:M191" si="95">E187-E189+E147</f>
        <v>2294866.2800166616</v>
      </c>
      <c r="F191" s="434">
        <f t="shared" si="95"/>
        <v>3519779.7778787161</v>
      </c>
      <c r="G191" s="434">
        <f t="shared" si="95"/>
        <v>4879044.6327631837</v>
      </c>
      <c r="H191" s="434">
        <f t="shared" si="95"/>
        <v>6380704.6259201579</v>
      </c>
      <c r="I191" s="434">
        <f t="shared" si="95"/>
        <v>7957152.4274273561</v>
      </c>
      <c r="J191" s="434">
        <f t="shared" si="95"/>
        <v>9640424.1975026261</v>
      </c>
      <c r="K191" s="434">
        <f t="shared" si="95"/>
        <v>11417484.162617039</v>
      </c>
      <c r="L191" s="434">
        <f t="shared" si="95"/>
        <v>13264482.12455238</v>
      </c>
      <c r="M191" s="434">
        <f t="shared" si="95"/>
        <v>15147396.266941477</v>
      </c>
      <c r="N191" s="401"/>
      <c r="O191" s="401"/>
      <c r="P191" s="389"/>
      <c r="Q191" s="389"/>
    </row>
    <row r="192" spans="1:17">
      <c r="A192" s="354" t="s">
        <v>329</v>
      </c>
      <c r="B192" s="383"/>
      <c r="C192" s="427"/>
      <c r="D192" s="419">
        <f>D69</f>
        <v>0.15720716401538562</v>
      </c>
      <c r="E192" s="419">
        <f t="shared" ref="E192:M192" si="96">E69</f>
        <v>0.15720716401538562</v>
      </c>
      <c r="F192" s="419">
        <f t="shared" si="96"/>
        <v>0.156881469828029</v>
      </c>
      <c r="G192" s="419">
        <f t="shared" si="96"/>
        <v>0.15563297544316271</v>
      </c>
      <c r="H192" s="419">
        <f t="shared" si="96"/>
        <v>0.15563297544316271</v>
      </c>
      <c r="I192" s="419">
        <f t="shared" si="96"/>
        <v>0.15020473898722278</v>
      </c>
      <c r="J192" s="419">
        <f t="shared" si="96"/>
        <v>0.15020473898722278</v>
      </c>
      <c r="K192" s="419">
        <f t="shared" si="96"/>
        <v>0.15020473898722278</v>
      </c>
      <c r="L192" s="419">
        <f t="shared" si="96"/>
        <v>0.15020473898722278</v>
      </c>
      <c r="M192" s="419">
        <f t="shared" si="96"/>
        <v>0.15020473898722278</v>
      </c>
      <c r="N192" s="391"/>
      <c r="O192" s="391"/>
      <c r="P192" s="389"/>
      <c r="Q192" s="389"/>
    </row>
    <row r="193" spans="1:17" ht="12" thickBot="1">
      <c r="A193" s="354"/>
      <c r="B193" s="383"/>
      <c r="C193" s="427"/>
      <c r="D193" s="419"/>
      <c r="E193" s="419"/>
      <c r="F193" s="419"/>
      <c r="G193" s="419"/>
      <c r="H193" s="419"/>
      <c r="I193" s="419"/>
      <c r="J193" s="419"/>
      <c r="K193" s="419"/>
      <c r="L193" s="419"/>
      <c r="M193" s="419"/>
      <c r="N193" s="391"/>
      <c r="O193" s="391"/>
      <c r="P193" s="389"/>
      <c r="Q193" s="389"/>
    </row>
    <row r="194" spans="1:17" ht="12" thickBot="1">
      <c r="A194" s="458" t="s">
        <v>328</v>
      </c>
      <c r="B194" s="383"/>
      <c r="C194" s="427"/>
      <c r="D194" s="419"/>
      <c r="E194" s="419"/>
      <c r="F194" s="419"/>
      <c r="G194" s="419"/>
      <c r="H194" s="419"/>
      <c r="I194" s="419"/>
      <c r="J194" s="419"/>
      <c r="K194" s="419"/>
      <c r="L194" s="419"/>
      <c r="M194" s="419"/>
      <c r="N194" s="391"/>
      <c r="O194" s="391"/>
      <c r="P194" s="389"/>
      <c r="Q194" s="389"/>
    </row>
    <row r="195" spans="1:17">
      <c r="A195" s="354" t="s">
        <v>334</v>
      </c>
      <c r="B195" s="383"/>
      <c r="C195" s="427"/>
      <c r="D195" s="517">
        <f>C13</f>
        <v>0</v>
      </c>
      <c r="E195" s="518">
        <f>D216</f>
        <v>4773.9199999999719</v>
      </c>
      <c r="F195" s="518">
        <f t="shared" ref="F195:M195" si="97">E216</f>
        <v>11007.541139548941</v>
      </c>
      <c r="G195" s="518">
        <f t="shared" si="97"/>
        <v>19033.790663289496</v>
      </c>
      <c r="H195" s="518">
        <f t="shared" si="97"/>
        <v>29239.759283656182</v>
      </c>
      <c r="I195" s="518">
        <f t="shared" si="97"/>
        <v>37880.864142594415</v>
      </c>
      <c r="J195" s="518">
        <f t="shared" si="97"/>
        <v>34587.70292306086</v>
      </c>
      <c r="K195" s="518">
        <f t="shared" si="97"/>
        <v>44400.335606643945</v>
      </c>
      <c r="L195" s="518">
        <f t="shared" si="97"/>
        <v>55271.118372276833</v>
      </c>
      <c r="M195" s="518">
        <f t="shared" si="97"/>
        <v>67081.295212293189</v>
      </c>
      <c r="N195" s="391"/>
      <c r="O195" s="391"/>
      <c r="P195" s="389"/>
      <c r="Q195" s="389"/>
    </row>
    <row r="196" spans="1:17" ht="12.75">
      <c r="A196" s="525" t="s">
        <v>1242</v>
      </c>
      <c r="B196" s="383"/>
      <c r="C196" s="427"/>
      <c r="D196" s="381">
        <f>D148</f>
        <v>4773.9199999999719</v>
      </c>
      <c r="E196" s="419"/>
      <c r="F196" s="419"/>
      <c r="G196" s="419"/>
      <c r="H196" s="419"/>
      <c r="I196" s="419"/>
      <c r="J196" s="419"/>
      <c r="K196" s="419"/>
      <c r="L196" s="419"/>
      <c r="M196" s="419"/>
      <c r="N196" s="391"/>
      <c r="O196" s="391"/>
      <c r="P196" s="389"/>
      <c r="Q196" s="389"/>
    </row>
    <row r="197" spans="1:17" ht="12.75">
      <c r="A197" s="519" t="s">
        <v>1245</v>
      </c>
      <c r="B197" s="520"/>
      <c r="C197" s="521"/>
      <c r="D197" s="389"/>
      <c r="E197" s="517">
        <f>D196/C14</f>
        <v>477.39199999999721</v>
      </c>
      <c r="F197" s="518">
        <f>E197</f>
        <v>477.39199999999721</v>
      </c>
      <c r="G197" s="518">
        <f t="shared" ref="G197:M197" si="98">F197</f>
        <v>477.39199999999721</v>
      </c>
      <c r="H197" s="518">
        <f t="shared" si="98"/>
        <v>477.39199999999721</v>
      </c>
      <c r="I197" s="518">
        <f t="shared" si="98"/>
        <v>477.39199999999721</v>
      </c>
      <c r="J197" s="518">
        <f t="shared" si="98"/>
        <v>477.39199999999721</v>
      </c>
      <c r="K197" s="518">
        <f t="shared" si="98"/>
        <v>477.39199999999721</v>
      </c>
      <c r="L197" s="518">
        <f t="shared" si="98"/>
        <v>477.39199999999721</v>
      </c>
      <c r="M197" s="518">
        <f t="shared" si="98"/>
        <v>477.39199999999721</v>
      </c>
      <c r="N197" s="391"/>
      <c r="O197" s="391"/>
      <c r="P197" s="389"/>
      <c r="Q197" s="389"/>
    </row>
    <row r="198" spans="1:17" ht="12.75">
      <c r="A198" s="526" t="s">
        <v>1244</v>
      </c>
      <c r="B198" s="389"/>
      <c r="C198" s="389"/>
      <c r="D198" s="389"/>
      <c r="E198" s="518">
        <f>E148</f>
        <v>6711.013139548968</v>
      </c>
      <c r="F198" s="518"/>
      <c r="G198" s="518"/>
      <c r="H198" s="518"/>
      <c r="I198" s="518"/>
      <c r="J198" s="518"/>
      <c r="K198" s="518"/>
      <c r="L198" s="518"/>
      <c r="M198" s="419"/>
      <c r="N198" s="391"/>
      <c r="O198" s="391"/>
      <c r="P198" s="389"/>
      <c r="Q198" s="389"/>
    </row>
    <row r="199" spans="1:17" ht="12.75">
      <c r="A199" s="519" t="s">
        <v>1246</v>
      </c>
      <c r="B199" s="520"/>
      <c r="C199" s="521"/>
      <c r="D199" s="518"/>
      <c r="E199" s="518"/>
      <c r="F199" s="518">
        <f>E198/C14</f>
        <v>671.1013139548968</v>
      </c>
      <c r="G199" s="518">
        <f>F199</f>
        <v>671.1013139548968</v>
      </c>
      <c r="H199" s="518">
        <f t="shared" ref="H199:M199" si="99">G199</f>
        <v>671.1013139548968</v>
      </c>
      <c r="I199" s="518">
        <f t="shared" si="99"/>
        <v>671.1013139548968</v>
      </c>
      <c r="J199" s="518">
        <f t="shared" si="99"/>
        <v>671.1013139548968</v>
      </c>
      <c r="K199" s="518">
        <f t="shared" si="99"/>
        <v>671.1013139548968</v>
      </c>
      <c r="L199" s="518">
        <f t="shared" si="99"/>
        <v>671.1013139548968</v>
      </c>
      <c r="M199" s="518">
        <f t="shared" si="99"/>
        <v>671.1013139548968</v>
      </c>
      <c r="N199" s="391"/>
      <c r="O199" s="391"/>
      <c r="P199" s="389"/>
      <c r="Q199" s="389"/>
    </row>
    <row r="200" spans="1:17" ht="12.75">
      <c r="A200" s="526" t="s">
        <v>1247</v>
      </c>
      <c r="B200" s="520"/>
      <c r="C200" s="521"/>
      <c r="D200" s="518"/>
      <c r="E200" s="518"/>
      <c r="F200" s="518">
        <f>F148</f>
        <v>9174.7428376954522</v>
      </c>
      <c r="G200" s="518"/>
      <c r="H200" s="518"/>
      <c r="I200" s="518"/>
      <c r="J200" s="518"/>
      <c r="K200" s="518"/>
      <c r="L200" s="518"/>
      <c r="M200" s="419"/>
      <c r="N200" s="391"/>
      <c r="O200" s="391"/>
      <c r="P200" s="389"/>
      <c r="Q200" s="389"/>
    </row>
    <row r="201" spans="1:17" ht="12.75">
      <c r="A201" s="519" t="s">
        <v>1248</v>
      </c>
      <c r="B201" s="520"/>
      <c r="C201" s="521"/>
      <c r="D201" s="518"/>
      <c r="E201" s="518"/>
      <c r="F201" s="518"/>
      <c r="G201" s="518">
        <f>F200/C14</f>
        <v>917.4742837695452</v>
      </c>
      <c r="H201" s="518">
        <f>G201</f>
        <v>917.4742837695452</v>
      </c>
      <c r="I201" s="518">
        <f t="shared" ref="I201:M201" si="100">H201</f>
        <v>917.4742837695452</v>
      </c>
      <c r="J201" s="518">
        <f t="shared" si="100"/>
        <v>917.4742837695452</v>
      </c>
      <c r="K201" s="518">
        <f t="shared" si="100"/>
        <v>917.4742837695452</v>
      </c>
      <c r="L201" s="518">
        <f t="shared" si="100"/>
        <v>917.4742837695452</v>
      </c>
      <c r="M201" s="518">
        <f t="shared" si="100"/>
        <v>917.4742837695452</v>
      </c>
      <c r="N201" s="391"/>
      <c r="O201" s="391"/>
      <c r="P201" s="389"/>
      <c r="Q201" s="389"/>
    </row>
    <row r="202" spans="1:17" ht="12.75">
      <c r="A202" s="526" t="s">
        <v>1249</v>
      </c>
      <c r="B202" s="520"/>
      <c r="C202" s="521"/>
      <c r="D202" s="518"/>
      <c r="E202" s="518"/>
      <c r="F202" s="518"/>
      <c r="G202" s="518">
        <f>G148</f>
        <v>12271.936218091125</v>
      </c>
      <c r="H202" s="518"/>
      <c r="I202" s="518"/>
      <c r="J202" s="518"/>
      <c r="K202" s="518"/>
      <c r="L202" s="518"/>
      <c r="M202" s="419"/>
      <c r="N202" s="391"/>
      <c r="O202" s="391"/>
      <c r="P202" s="389"/>
      <c r="Q202" s="389"/>
    </row>
    <row r="203" spans="1:17" ht="12.75">
      <c r="A203" s="519" t="s">
        <v>1250</v>
      </c>
      <c r="B203" s="520"/>
      <c r="C203" s="521"/>
      <c r="D203" s="518"/>
      <c r="E203" s="518"/>
      <c r="F203" s="518"/>
      <c r="G203" s="518"/>
      <c r="H203" s="518">
        <f>G202/C14</f>
        <v>1227.1936218091125</v>
      </c>
      <c r="I203" s="518">
        <f>H203</f>
        <v>1227.1936218091125</v>
      </c>
      <c r="J203" s="518">
        <f t="shared" ref="J203:L203" si="101">I203</f>
        <v>1227.1936218091125</v>
      </c>
      <c r="K203" s="518">
        <f t="shared" si="101"/>
        <v>1227.1936218091125</v>
      </c>
      <c r="L203" s="518">
        <f t="shared" si="101"/>
        <v>1227.1936218091125</v>
      </c>
      <c r="M203" s="518">
        <f>L203</f>
        <v>1227.1936218091125</v>
      </c>
      <c r="N203" s="391"/>
      <c r="O203" s="391"/>
      <c r="P203" s="389"/>
      <c r="Q203" s="389"/>
    </row>
    <row r="204" spans="1:17" ht="12.75">
      <c r="A204" s="525" t="s">
        <v>1251</v>
      </c>
      <c r="B204" s="520"/>
      <c r="C204" s="521"/>
      <c r="D204" s="518"/>
      <c r="E204" s="518"/>
      <c r="F204" s="518"/>
      <c r="G204" s="518"/>
      <c r="H204" s="518">
        <f>H148</f>
        <v>11934.266078471788</v>
      </c>
      <c r="I204" s="518"/>
      <c r="J204" s="518"/>
      <c r="K204" s="518"/>
      <c r="L204" s="518"/>
      <c r="M204" s="419"/>
      <c r="N204" s="391"/>
      <c r="O204" s="391"/>
      <c r="P204" s="389"/>
      <c r="Q204" s="389"/>
    </row>
    <row r="205" spans="1:17" ht="12.75">
      <c r="A205" s="519" t="s">
        <v>1252</v>
      </c>
      <c r="B205" s="520"/>
      <c r="C205" s="521"/>
      <c r="D205" s="518"/>
      <c r="E205" s="518"/>
      <c r="F205" s="518"/>
      <c r="G205" s="518"/>
      <c r="H205" s="518"/>
      <c r="I205" s="518">
        <f>H204/C14</f>
        <v>1193.4266078471787</v>
      </c>
      <c r="J205" s="518">
        <f>I205</f>
        <v>1193.4266078471787</v>
      </c>
      <c r="K205" s="518">
        <f t="shared" ref="K205:M205" si="102">J205</f>
        <v>1193.4266078471787</v>
      </c>
      <c r="L205" s="518">
        <f t="shared" si="102"/>
        <v>1193.4266078471787</v>
      </c>
      <c r="M205" s="518">
        <f t="shared" si="102"/>
        <v>1193.4266078471787</v>
      </c>
      <c r="N205" s="391"/>
      <c r="O205" s="391"/>
      <c r="P205" s="389"/>
      <c r="Q205" s="389"/>
    </row>
    <row r="206" spans="1:17" ht="12.75">
      <c r="A206" s="526" t="s">
        <v>1253</v>
      </c>
      <c r="B206" s="520"/>
      <c r="C206" s="521"/>
      <c r="D206" s="518"/>
      <c r="E206" s="518"/>
      <c r="F206" s="518"/>
      <c r="G206" s="518"/>
      <c r="H206" s="518"/>
      <c r="I206" s="518"/>
      <c r="J206" s="518">
        <f>J148</f>
        <v>14299.220510963816</v>
      </c>
      <c r="K206" s="518"/>
      <c r="L206" s="518"/>
      <c r="M206" s="419"/>
      <c r="N206" s="391"/>
      <c r="O206" s="391"/>
      <c r="P206" s="389"/>
      <c r="Q206" s="389"/>
    </row>
    <row r="207" spans="1:17" ht="12.75">
      <c r="A207" s="519" t="s">
        <v>1243</v>
      </c>
      <c r="B207" s="520"/>
      <c r="C207" s="521"/>
      <c r="D207" s="518"/>
      <c r="E207" s="518"/>
      <c r="F207" s="518"/>
      <c r="G207" s="518"/>
      <c r="H207" s="518"/>
      <c r="I207" s="518"/>
      <c r="J207" s="518"/>
      <c r="K207" s="518">
        <f>J206/C14</f>
        <v>1429.9220510963817</v>
      </c>
      <c r="L207" s="518">
        <f>K207</f>
        <v>1429.9220510963817</v>
      </c>
      <c r="M207" s="518">
        <f>L207</f>
        <v>1429.9220510963817</v>
      </c>
      <c r="N207" s="391"/>
      <c r="O207" s="391"/>
      <c r="P207" s="389"/>
      <c r="Q207" s="389"/>
    </row>
    <row r="208" spans="1:17" ht="12.75">
      <c r="A208" s="526" t="s">
        <v>1254</v>
      </c>
      <c r="B208" s="520"/>
      <c r="C208" s="521"/>
      <c r="D208" s="518"/>
      <c r="E208" s="518"/>
      <c r="F208" s="518"/>
      <c r="G208" s="518"/>
      <c r="H208" s="518"/>
      <c r="I208" s="518"/>
      <c r="J208" s="518"/>
      <c r="K208" s="518">
        <f>K148</f>
        <v>16787.292644109995</v>
      </c>
      <c r="L208" s="518"/>
      <c r="M208" s="419"/>
      <c r="N208" s="391"/>
      <c r="O208" s="391"/>
      <c r="P208" s="389"/>
      <c r="Q208" s="389"/>
    </row>
    <row r="209" spans="1:50" ht="12.75">
      <c r="A209" s="519" t="s">
        <v>1255</v>
      </c>
      <c r="B209" s="520"/>
      <c r="C209" s="521"/>
      <c r="D209" s="518"/>
      <c r="E209" s="518"/>
      <c r="F209" s="518"/>
      <c r="G209" s="518"/>
      <c r="H209" s="518"/>
      <c r="I209" s="518"/>
      <c r="J209" s="518"/>
      <c r="K209" s="518"/>
      <c r="L209" s="518">
        <f>K208/C14</f>
        <v>1678.7292644109996</v>
      </c>
      <c r="M209" s="518">
        <f>L209</f>
        <v>1678.7292644109996</v>
      </c>
      <c r="N209" s="391"/>
      <c r="O209" s="391"/>
      <c r="P209" s="389"/>
      <c r="Q209" s="389"/>
    </row>
    <row r="210" spans="1:50" ht="12.75">
      <c r="A210" s="526" t="s">
        <v>1256</v>
      </c>
      <c r="B210" s="520"/>
      <c r="C210" s="521"/>
      <c r="D210" s="518"/>
      <c r="E210" s="518"/>
      <c r="F210" s="518"/>
      <c r="G210" s="518"/>
      <c r="H210" s="518"/>
      <c r="I210" s="518"/>
      <c r="J210" s="518"/>
      <c r="K210" s="518"/>
      <c r="L210" s="518">
        <f>L148</f>
        <v>19405.415982904473</v>
      </c>
      <c r="M210" s="419"/>
      <c r="N210" s="391"/>
      <c r="O210" s="391"/>
      <c r="P210" s="389"/>
      <c r="Q210" s="389"/>
    </row>
    <row r="211" spans="1:50" ht="12.75">
      <c r="A211" s="519" t="s">
        <v>1257</v>
      </c>
      <c r="B211" s="520"/>
      <c r="C211" s="521"/>
      <c r="D211" s="518"/>
      <c r="E211" s="518"/>
      <c r="F211" s="518"/>
      <c r="G211" s="518"/>
      <c r="H211" s="518"/>
      <c r="I211" s="518"/>
      <c r="J211" s="518"/>
      <c r="K211" s="518"/>
      <c r="L211" s="518"/>
      <c r="M211" s="518">
        <f>L210/C14</f>
        <v>1940.5415982904474</v>
      </c>
      <c r="N211" s="391"/>
      <c r="O211" s="391"/>
      <c r="P211" s="389"/>
      <c r="Q211" s="389"/>
    </row>
    <row r="212" spans="1:50" ht="12.75">
      <c r="A212" s="526" t="s">
        <v>1258</v>
      </c>
      <c r="B212" s="520"/>
      <c r="C212" s="521"/>
      <c r="D212" s="518"/>
      <c r="E212" s="518"/>
      <c r="F212" s="518"/>
      <c r="G212" s="518"/>
      <c r="H212" s="518"/>
      <c r="I212" s="518"/>
      <c r="J212" s="518"/>
      <c r="K212" s="518"/>
      <c r="L212" s="518"/>
      <c r="M212" s="518">
        <f>M148</f>
        <v>22064.665641592026</v>
      </c>
      <c r="N212" s="391"/>
      <c r="O212" s="391"/>
      <c r="P212" s="389"/>
      <c r="Q212" s="389"/>
    </row>
    <row r="213" spans="1:50" ht="14.25" customHeight="1">
      <c r="A213" s="527" t="s">
        <v>1259</v>
      </c>
      <c r="B213" s="520"/>
      <c r="C213" s="521"/>
      <c r="D213" s="524">
        <f>D195*D217</f>
        <v>0</v>
      </c>
      <c r="E213" s="524">
        <f t="shared" ref="E213:M213" si="103">E195*E217</f>
        <v>750.49442443632529</v>
      </c>
      <c r="F213" s="524">
        <f t="shared" si="103"/>
        <v>1726.8792331649352</v>
      </c>
      <c r="G213" s="524">
        <f t="shared" si="103"/>
        <v>2962.2854748900336</v>
      </c>
      <c r="H213" s="524">
        <f t="shared" si="103"/>
        <v>4550.6707385572518</v>
      </c>
      <c r="I213" s="524">
        <f t="shared" si="103"/>
        <v>5689.8853111488406</v>
      </c>
      <c r="J213" s="524">
        <f t="shared" si="103"/>
        <v>5195.2368897259594</v>
      </c>
      <c r="K213" s="524">
        <f t="shared" si="103"/>
        <v>6669.1408207410477</v>
      </c>
      <c r="L213" s="524">
        <f t="shared" si="103"/>
        <v>8301.9839086397351</v>
      </c>
      <c r="M213" s="524">
        <f t="shared" si="103"/>
        <v>10075.928438287336</v>
      </c>
      <c r="N213" s="391"/>
      <c r="O213" s="391"/>
      <c r="P213" s="389"/>
      <c r="Q213" s="389"/>
    </row>
    <row r="214" spans="1:50" ht="12.75">
      <c r="A214" s="523" t="s">
        <v>328</v>
      </c>
      <c r="B214" s="520"/>
      <c r="C214" s="521"/>
      <c r="D214" s="524">
        <f>D196</f>
        <v>4773.9199999999719</v>
      </c>
      <c r="E214" s="524">
        <f>E198</f>
        <v>6711.013139548968</v>
      </c>
      <c r="F214" s="524">
        <f>F200</f>
        <v>9174.7428376954522</v>
      </c>
      <c r="G214" s="524">
        <f>G202</f>
        <v>12271.936218091125</v>
      </c>
      <c r="H214" s="524">
        <f>H204</f>
        <v>11934.266078471788</v>
      </c>
      <c r="I214" s="524">
        <f>I205</f>
        <v>1193.4266078471787</v>
      </c>
      <c r="J214" s="524">
        <f>J206</f>
        <v>14299.220510963816</v>
      </c>
      <c r="K214" s="524">
        <f>K208</f>
        <v>16787.292644109995</v>
      </c>
      <c r="L214" s="524">
        <f>L210</f>
        <v>19405.415982904473</v>
      </c>
      <c r="M214" s="524">
        <f>M212</f>
        <v>22064.665641592026</v>
      </c>
      <c r="N214" s="391"/>
      <c r="O214" s="391"/>
      <c r="Q214" s="389"/>
    </row>
    <row r="215" spans="1:50" ht="12.75">
      <c r="A215" s="527" t="s">
        <v>1260</v>
      </c>
      <c r="B215" s="520"/>
      <c r="C215" s="521"/>
      <c r="D215" s="524">
        <f>D197+D199+D201+D203+D205+D207+D209+D211</f>
        <v>0</v>
      </c>
      <c r="E215" s="524">
        <f>E197+E199+E201+E203+E205+E207+E209+E211</f>
        <v>477.39199999999721</v>
      </c>
      <c r="F215" s="524">
        <f t="shared" ref="F215:M215" si="104">F197+F199+F201+F203+F205+F207+F209+F211</f>
        <v>1148.4933139548939</v>
      </c>
      <c r="G215" s="524">
        <f>G197+G199+G201+G203+G205+G207+G209+G211</f>
        <v>2065.9675977244392</v>
      </c>
      <c r="H215" s="524">
        <f>H197+H199+H201+H203+H205+H207+H209+H211</f>
        <v>3293.161219533552</v>
      </c>
      <c r="I215" s="524">
        <f t="shared" si="104"/>
        <v>4486.5878273807302</v>
      </c>
      <c r="J215" s="524">
        <f t="shared" si="104"/>
        <v>4486.5878273807302</v>
      </c>
      <c r="K215" s="524">
        <f t="shared" si="104"/>
        <v>5916.5098784771117</v>
      </c>
      <c r="L215" s="524">
        <f t="shared" si="104"/>
        <v>7595.239142888111</v>
      </c>
      <c r="M215" s="524">
        <f t="shared" si="104"/>
        <v>9535.7807411785579</v>
      </c>
      <c r="N215" s="391"/>
      <c r="O215" s="391"/>
      <c r="P215" s="389"/>
      <c r="Q215" s="389"/>
    </row>
    <row r="216" spans="1:50" ht="12.75">
      <c r="A216" s="523" t="s">
        <v>1261</v>
      </c>
      <c r="B216" s="520"/>
      <c r="C216" s="521"/>
      <c r="D216" s="524">
        <f>D195+D214-D215</f>
        <v>4773.9199999999719</v>
      </c>
      <c r="E216" s="524">
        <f>E195+E214-E215</f>
        <v>11007.541139548941</v>
      </c>
      <c r="F216" s="524">
        <f t="shared" ref="F216:M216" si="105">F195+F214-F215</f>
        <v>19033.790663289496</v>
      </c>
      <c r="G216" s="524">
        <f t="shared" si="105"/>
        <v>29239.759283656182</v>
      </c>
      <c r="H216" s="524">
        <f t="shared" si="105"/>
        <v>37880.864142594415</v>
      </c>
      <c r="I216" s="524">
        <f t="shared" si="105"/>
        <v>34587.70292306086</v>
      </c>
      <c r="J216" s="524">
        <f t="shared" si="105"/>
        <v>44400.335606643945</v>
      </c>
      <c r="K216" s="524">
        <f t="shared" si="105"/>
        <v>55271.118372276833</v>
      </c>
      <c r="L216" s="524">
        <f t="shared" si="105"/>
        <v>67081.295212293189</v>
      </c>
      <c r="M216" s="524">
        <f t="shared" si="105"/>
        <v>79610.180112706657</v>
      </c>
      <c r="N216" s="391"/>
      <c r="O216" s="391"/>
      <c r="P216" s="389"/>
      <c r="Q216" s="389"/>
    </row>
    <row r="217" spans="1:50">
      <c r="A217" s="354" t="s">
        <v>329</v>
      </c>
      <c r="B217" s="383"/>
      <c r="C217" s="427"/>
      <c r="D217" s="419">
        <f t="shared" ref="D217:M217" si="106">D69</f>
        <v>0.15720716401538562</v>
      </c>
      <c r="E217" s="419">
        <f t="shared" si="106"/>
        <v>0.15720716401538562</v>
      </c>
      <c r="F217" s="419">
        <f t="shared" si="106"/>
        <v>0.156881469828029</v>
      </c>
      <c r="G217" s="419">
        <f t="shared" si="106"/>
        <v>0.15563297544316271</v>
      </c>
      <c r="H217" s="419">
        <f t="shared" si="106"/>
        <v>0.15563297544316271</v>
      </c>
      <c r="I217" s="419">
        <f t="shared" si="106"/>
        <v>0.15020473898722278</v>
      </c>
      <c r="J217" s="419">
        <f t="shared" si="106"/>
        <v>0.15020473898722278</v>
      </c>
      <c r="K217" s="419">
        <f t="shared" si="106"/>
        <v>0.15020473898722278</v>
      </c>
      <c r="L217" s="419">
        <f t="shared" si="106"/>
        <v>0.15020473898722278</v>
      </c>
      <c r="M217" s="419">
        <f t="shared" si="106"/>
        <v>0.15020473898722278</v>
      </c>
      <c r="N217" s="391"/>
      <c r="O217" s="391"/>
      <c r="P217" s="389"/>
      <c r="Q217" s="389"/>
    </row>
    <row r="218" spans="1:50" ht="12" thickBot="1">
      <c r="A218" s="522"/>
      <c r="B218" s="520"/>
      <c r="C218" s="521"/>
      <c r="D218" s="518"/>
      <c r="E218" s="518"/>
      <c r="F218" s="518"/>
      <c r="G218" s="518"/>
      <c r="H218" s="518"/>
      <c r="I218" s="518"/>
      <c r="J218" s="518"/>
      <c r="K218" s="518"/>
      <c r="L218" s="518"/>
      <c r="M218" s="419"/>
      <c r="N218" s="391"/>
      <c r="O218" s="713" t="s">
        <v>1266</v>
      </c>
      <c r="P218" s="714"/>
      <c r="Q218" s="714"/>
      <c r="R218" s="714"/>
      <c r="S218" s="714"/>
      <c r="T218" s="714"/>
      <c r="U218" s="714"/>
      <c r="V218" s="714"/>
      <c r="W218" s="714"/>
      <c r="X218" s="714"/>
      <c r="Y218" s="715"/>
      <c r="AB218" s="716" t="s">
        <v>1268</v>
      </c>
      <c r="AC218" s="717"/>
      <c r="AD218" s="717"/>
      <c r="AE218" s="717"/>
      <c r="AF218" s="717"/>
      <c r="AG218" s="717"/>
      <c r="AH218" s="717"/>
      <c r="AI218" s="717"/>
      <c r="AJ218" s="717"/>
      <c r="AK218" s="718"/>
      <c r="AN218" s="716" t="s">
        <v>1271</v>
      </c>
      <c r="AO218" s="717"/>
      <c r="AP218" s="717"/>
      <c r="AQ218" s="717"/>
      <c r="AR218" s="717"/>
      <c r="AS218" s="717"/>
      <c r="AT218" s="717"/>
      <c r="AU218" s="717"/>
      <c r="AV218" s="717"/>
      <c r="AW218" s="718"/>
    </row>
    <row r="219" spans="1:50" ht="12" thickBot="1">
      <c r="A219" s="462" t="s">
        <v>327</v>
      </c>
      <c r="B219" s="456" t="s">
        <v>311</v>
      </c>
      <c r="C219" s="382">
        <v>0</v>
      </c>
      <c r="D219" s="348">
        <v>1</v>
      </c>
      <c r="E219" s="348">
        <v>2</v>
      </c>
      <c r="F219" s="348">
        <v>3</v>
      </c>
      <c r="G219" s="348">
        <v>4</v>
      </c>
      <c r="H219" s="348">
        <v>5</v>
      </c>
      <c r="I219" s="348">
        <v>6</v>
      </c>
      <c r="J219" s="348">
        <v>7</v>
      </c>
      <c r="K219" s="349">
        <v>8</v>
      </c>
      <c r="L219" s="349">
        <v>9</v>
      </c>
      <c r="M219" s="349">
        <v>10</v>
      </c>
      <c r="O219" s="578">
        <v>2009</v>
      </c>
      <c r="P219" s="579">
        <v>2010</v>
      </c>
      <c r="Q219" s="579">
        <v>2011</v>
      </c>
      <c r="R219" s="579">
        <v>2012</v>
      </c>
      <c r="S219" s="579">
        <v>2013</v>
      </c>
      <c r="T219" s="579">
        <v>2014</v>
      </c>
      <c r="U219" s="579">
        <v>2015</v>
      </c>
      <c r="V219" s="579">
        <v>2016</v>
      </c>
      <c r="W219" s="579">
        <v>2017</v>
      </c>
      <c r="X219" s="579">
        <v>2018</v>
      </c>
      <c r="Y219" s="580">
        <v>2019</v>
      </c>
      <c r="Z219" s="576" t="s">
        <v>1272</v>
      </c>
      <c r="AB219" s="578">
        <v>2010</v>
      </c>
      <c r="AC219" s="579">
        <v>2011</v>
      </c>
      <c r="AD219" s="579">
        <v>2012</v>
      </c>
      <c r="AE219" s="579">
        <v>2013</v>
      </c>
      <c r="AF219" s="579">
        <v>2014</v>
      </c>
      <c r="AG219" s="579">
        <v>2015</v>
      </c>
      <c r="AH219" s="579">
        <v>2016</v>
      </c>
      <c r="AI219" s="579">
        <v>2017</v>
      </c>
      <c r="AJ219" s="579">
        <v>2018</v>
      </c>
      <c r="AK219" s="579">
        <v>2019</v>
      </c>
      <c r="AL219" s="576" t="s">
        <v>1272</v>
      </c>
      <c r="AN219" s="578">
        <v>2010</v>
      </c>
      <c r="AO219" s="579">
        <v>2011</v>
      </c>
      <c r="AP219" s="579">
        <v>2012</v>
      </c>
      <c r="AQ219" s="579">
        <v>2013</v>
      </c>
      <c r="AR219" s="579">
        <v>2014</v>
      </c>
      <c r="AS219" s="579">
        <v>2015</v>
      </c>
      <c r="AT219" s="579">
        <v>2016</v>
      </c>
      <c r="AU219" s="579">
        <v>2017</v>
      </c>
      <c r="AV219" s="579">
        <v>2018</v>
      </c>
      <c r="AW219" s="579">
        <v>2019</v>
      </c>
      <c r="AX219" s="576" t="s">
        <v>1272</v>
      </c>
    </row>
    <row r="220" spans="1:50">
      <c r="A220" s="361" t="s">
        <v>326</v>
      </c>
      <c r="B220" s="383"/>
      <c r="C220" s="421">
        <f>'ANTONIO ARAUJO &amp; CIA'!L74</f>
        <v>4673604</v>
      </c>
      <c r="D220" s="421">
        <f>D110</f>
        <v>5418193.3153418154</v>
      </c>
      <c r="E220" s="421">
        <f t="shared" ref="E220:M220" si="107">E110</f>
        <v>6284137.5341970166</v>
      </c>
      <c r="F220" s="421">
        <f t="shared" si="107"/>
        <v>7286368.6798237655</v>
      </c>
      <c r="G220" s="421">
        <f t="shared" si="107"/>
        <v>8439064.7935961038</v>
      </c>
      <c r="H220" s="421">
        <f t="shared" si="107"/>
        <v>9774116.2600951176</v>
      </c>
      <c r="I220" s="421">
        <f t="shared" si="107"/>
        <v>11265683.725562723</v>
      </c>
      <c r="J220" s="421">
        <f t="shared" si="107"/>
        <v>12984870.082072638</v>
      </c>
      <c r="K220" s="421">
        <f t="shared" si="107"/>
        <v>14966410.841600575</v>
      </c>
      <c r="L220" s="421">
        <f t="shared" si="107"/>
        <v>17250342.287893381</v>
      </c>
      <c r="M220" s="421">
        <f t="shared" si="107"/>
        <v>19882810.394483246</v>
      </c>
      <c r="N220" s="393"/>
      <c r="O220" s="563">
        <f>C220/$C$220</f>
        <v>1</v>
      </c>
      <c r="P220" s="564">
        <f>D220/$D$220</f>
        <v>1</v>
      </c>
      <c r="Q220" s="564">
        <f>E220/$E$220</f>
        <v>1</v>
      </c>
      <c r="R220" s="564">
        <f>F220/$F$220</f>
        <v>1</v>
      </c>
      <c r="S220" s="564">
        <f>G220/$G$220</f>
        <v>1</v>
      </c>
      <c r="T220" s="564">
        <f>H220/$H$220</f>
        <v>1</v>
      </c>
      <c r="U220" s="564">
        <f>I220/$I$220</f>
        <v>1</v>
      </c>
      <c r="V220" s="564">
        <f>J220/$J$220</f>
        <v>1</v>
      </c>
      <c r="W220" s="564">
        <f>K220/$K$220</f>
        <v>1</v>
      </c>
      <c r="X220" s="564">
        <f>L220/$L$220</f>
        <v>1</v>
      </c>
      <c r="Y220" s="565">
        <f>M220/$M$220</f>
        <v>1</v>
      </c>
      <c r="Z220" s="565">
        <f>AVERAGE(O220:Y220)</f>
        <v>1</v>
      </c>
      <c r="AA220" s="393"/>
      <c r="AB220" s="571">
        <f t="shared" ref="AB220:AK220" si="108">+IF(C220=0,"",D220/C220-1)</f>
        <v>0.15931801567736925</v>
      </c>
      <c r="AC220" s="562">
        <f t="shared" si="108"/>
        <v>0.15982158045251871</v>
      </c>
      <c r="AD220" s="562">
        <f t="shared" si="108"/>
        <v>0.15948587060241892</v>
      </c>
      <c r="AE220" s="562">
        <f t="shared" si="108"/>
        <v>0.15819898284370337</v>
      </c>
      <c r="AF220" s="562">
        <f t="shared" si="108"/>
        <v>0.15819898284370359</v>
      </c>
      <c r="AG220" s="562">
        <f t="shared" si="108"/>
        <v>0.15260381867537665</v>
      </c>
      <c r="AH220" s="562">
        <f t="shared" si="108"/>
        <v>0.15260381867537665</v>
      </c>
      <c r="AI220" s="562">
        <f t="shared" si="108"/>
        <v>0.15260381867537665</v>
      </c>
      <c r="AJ220" s="562">
        <f t="shared" si="108"/>
        <v>0.15260381867537665</v>
      </c>
      <c r="AK220" s="572">
        <f t="shared" si="108"/>
        <v>0.15260381867537665</v>
      </c>
      <c r="AL220" s="539">
        <f>AVERAGE(AB220:AK220)</f>
        <v>0.15580425257965971</v>
      </c>
      <c r="AM220" s="413"/>
      <c r="AN220" s="566">
        <f>IF(AB220="",,(((AB220+1)/($D$22+1))-1))</f>
        <v>0.11854697831768934</v>
      </c>
      <c r="AO220" s="538">
        <f>IF(AC220="",,(((AC220+1)/($E$22+1))-1))</f>
        <v>0.11903283366541428</v>
      </c>
      <c r="AP220" s="538">
        <f>IF(AD220="",,(((AD220+1)/($F$22+1))-1))</f>
        <v>0.11903283366541428</v>
      </c>
      <c r="AQ220" s="538">
        <f>IF(AE220="",,(((AE220+1)/($G$22+1))-1))</f>
        <v>0.11903283366541406</v>
      </c>
      <c r="AR220" s="538">
        <f>IF(AF220="",,(((AF220+1)/($H$22+1))-1))</f>
        <v>0.11903283366541428</v>
      </c>
      <c r="AS220" s="538">
        <f>IF(AG220="",,(((AG220+1)/($I$22+1))-1))</f>
        <v>0.11903283366541428</v>
      </c>
      <c r="AT220" s="538">
        <f>IF(AH220="",,(((AH220+1)/($J$22+1))-1))</f>
        <v>0.11903283366541428</v>
      </c>
      <c r="AU220" s="538">
        <f>IF(AI220="",,(((AI220+1)/($K$22+1))-1))</f>
        <v>0.11903283366541428</v>
      </c>
      <c r="AV220" s="538">
        <f>IF(AJ220="",,(((AJ220+1)/($L$22+1))-1))</f>
        <v>0.11903283366541428</v>
      </c>
      <c r="AW220" s="539">
        <f>IF(AK220="",,(((AK220+1)/($M$22+1))-1))</f>
        <v>0.11903283366541428</v>
      </c>
      <c r="AX220" s="569">
        <f>AVERAGE(AN220:AW220)</f>
        <v>0.11898424813064176</v>
      </c>
    </row>
    <row r="221" spans="1:50" ht="22.5">
      <c r="A221" s="361" t="s">
        <v>325</v>
      </c>
      <c r="B221" s="383"/>
      <c r="C221" s="421">
        <f>'ANTONIO ARAUJO &amp; CIA'!L75</f>
        <v>3481108</v>
      </c>
      <c r="D221" s="421">
        <f t="shared" ref="D221:M221" si="109">D102</f>
        <v>4087455.1655018404</v>
      </c>
      <c r="E221" s="421">
        <f t="shared" si="109"/>
        <v>4740718.7100811563</v>
      </c>
      <c r="F221" s="421">
        <f t="shared" si="109"/>
        <v>5496796.3608396258</v>
      </c>
      <c r="G221" s="421">
        <f t="shared" si="109"/>
        <v>6366383.9540234255</v>
      </c>
      <c r="H221" s="421">
        <f t="shared" si="109"/>
        <v>7373539.4199424079</v>
      </c>
      <c r="I221" s="421">
        <f t="shared" si="109"/>
        <v>8498769.6925790403</v>
      </c>
      <c r="J221" s="421">
        <f t="shared" si="109"/>
        <v>9795714.401709158</v>
      </c>
      <c r="K221" s="421">
        <f>K102</f>
        <v>11290577.826063359</v>
      </c>
      <c r="L221" s="421">
        <f t="shared" si="109"/>
        <v>13013563.117372161</v>
      </c>
      <c r="M221" s="421">
        <f t="shared" si="109"/>
        <v>14999482.543656193</v>
      </c>
      <c r="N221" s="393"/>
      <c r="O221" s="566">
        <f t="shared" ref="O221:O232" si="110">C221/$C$220</f>
        <v>0.74484444980789988</v>
      </c>
      <c r="P221" s="538">
        <f t="shared" ref="P221:P232" si="111">D221/$D$220</f>
        <v>0.75439448679840559</v>
      </c>
      <c r="Q221" s="538">
        <f t="shared" ref="Q221:Q232" si="112">E221/$E$220</f>
        <v>0.75439448679840559</v>
      </c>
      <c r="R221" s="538">
        <f t="shared" ref="R221:R232" si="113">F221/$F$220</f>
        <v>0.75439448679840559</v>
      </c>
      <c r="S221" s="538">
        <f t="shared" ref="S221:S232" si="114">G221/$G$220</f>
        <v>0.75439448679840559</v>
      </c>
      <c r="T221" s="538">
        <f t="shared" ref="T221:T232" si="115">H221/$H$220</f>
        <v>0.75439448679840559</v>
      </c>
      <c r="U221" s="538">
        <f t="shared" ref="U221:U232" si="116">I221/$I$220</f>
        <v>0.75439448679840559</v>
      </c>
      <c r="V221" s="538">
        <f t="shared" ref="V221:V232" si="117">J221/$J$220</f>
        <v>0.75439448679840559</v>
      </c>
      <c r="W221" s="538">
        <f t="shared" ref="W221:W232" si="118">K221/$K$220</f>
        <v>0.75439448679840559</v>
      </c>
      <c r="X221" s="538">
        <f t="shared" ref="X221:X232" si="119">L221/$L$220</f>
        <v>0.75439448679840559</v>
      </c>
      <c r="Y221" s="539">
        <f t="shared" ref="Y221:Y232" si="120">M221/$M$220</f>
        <v>0.75439448679840559</v>
      </c>
      <c r="Z221" s="539">
        <f t="shared" ref="Z221:Z232" si="121">AVERAGE(O221:Y221)</f>
        <v>0.75352630161745049</v>
      </c>
      <c r="AB221" s="571">
        <f>+IF(C221=0,"",D221/C221-1)</f>
        <v>0.1741822332147811</v>
      </c>
      <c r="AC221" s="562">
        <f t="shared" ref="AC221:AD232" si="122">+IF(D221=0,"",E221/D221-1)</f>
        <v>0.15982158045251871</v>
      </c>
      <c r="AD221" s="562">
        <f t="shared" si="122"/>
        <v>0.15948587060241892</v>
      </c>
      <c r="AE221" s="562">
        <f t="shared" ref="AE221:AE232" si="123">+IF(F221=0,"",G221/F221-1)</f>
        <v>0.15819898284370337</v>
      </c>
      <c r="AF221" s="562">
        <f t="shared" ref="AF221:AF232" si="124">+IF(G221=0,"",H221/G221-1)</f>
        <v>0.15819898284370359</v>
      </c>
      <c r="AG221" s="562">
        <f t="shared" ref="AG221:AG232" si="125">+IF(H221=0,"",I221/H221-1)</f>
        <v>0.15260381867537665</v>
      </c>
      <c r="AH221" s="562">
        <f t="shared" ref="AH221:AH232" si="126">+IF(I221=0,"",J221/I221-1)</f>
        <v>0.15260381867537665</v>
      </c>
      <c r="AI221" s="562">
        <f t="shared" ref="AI221:AI232" si="127">+IF(J221=0,"",K221/J221-1)</f>
        <v>0.15260381867537687</v>
      </c>
      <c r="AJ221" s="562">
        <f t="shared" ref="AJ221:AJ232" si="128">+IF(K221=0,"",L221/K221-1)</f>
        <v>0.15260381867537665</v>
      </c>
      <c r="AK221" s="572">
        <f t="shared" ref="AK221:AK232" si="129">+IF(L221=0,"",M221/L221-1)</f>
        <v>0.15260381867537687</v>
      </c>
      <c r="AL221" s="539">
        <f t="shared" ref="AL221:AL232" si="130">AVERAGE(AB221:AK221)</f>
        <v>0.15729067433340094</v>
      </c>
      <c r="AN221" s="566">
        <f t="shared" ref="AN221:AN232" si="131">IF(AB221="",,(((AB221+1)/($D$22+1))-1))</f>
        <v>0.13288844923998355</v>
      </c>
      <c r="AO221" s="538">
        <f t="shared" ref="AO221:AO232" si="132">IF(AC221="",,(((AC221+1)/($E$22+1))-1))</f>
        <v>0.11903283366541428</v>
      </c>
      <c r="AP221" s="538">
        <f t="shared" ref="AP221:AP232" si="133">IF(AD221="",,(((AD221+1)/($F$22+1))-1))</f>
        <v>0.11903283366541428</v>
      </c>
      <c r="AQ221" s="538">
        <f t="shared" ref="AQ221:AQ232" si="134">IF(AE221="",,(((AE221+1)/($G$22+1))-1))</f>
        <v>0.11903283366541406</v>
      </c>
      <c r="AR221" s="538">
        <f t="shared" ref="AR221:AR232" si="135">IF(AF221="",,(((AF221+1)/($H$22+1))-1))</f>
        <v>0.11903283366541428</v>
      </c>
      <c r="AS221" s="538">
        <f t="shared" ref="AS221:AS232" si="136">IF(AG221="",,(((AG221+1)/($I$22+1))-1))</f>
        <v>0.11903283366541428</v>
      </c>
      <c r="AT221" s="538">
        <f t="shared" ref="AT221:AT232" si="137">IF(AH221="",,(((AH221+1)/($J$22+1))-1))</f>
        <v>0.11903283366541428</v>
      </c>
      <c r="AU221" s="538">
        <f t="shared" ref="AU221:AU232" si="138">IF(AI221="",,(((AI221+1)/($K$22+1))-1))</f>
        <v>0.11903283366541451</v>
      </c>
      <c r="AV221" s="538">
        <f t="shared" ref="AV221:AV232" si="139">IF(AJ221="",,(((AJ221+1)/($L$22+1))-1))</f>
        <v>0.11903283366541428</v>
      </c>
      <c r="AW221" s="539">
        <f t="shared" ref="AW221:AW232" si="140">IF(AK221="",,(((AK221+1)/($M$22+1))-1))</f>
        <v>0.11903283366541451</v>
      </c>
      <c r="AX221" s="569">
        <f t="shared" ref="AX221:AX232" si="141">AVERAGE(AN221:AW221)</f>
        <v>0.12041839522287123</v>
      </c>
    </row>
    <row r="222" spans="1:50">
      <c r="A222" s="362" t="s">
        <v>324</v>
      </c>
      <c r="B222" s="383"/>
      <c r="C222" s="421">
        <f>C220-C221</f>
        <v>1192496</v>
      </c>
      <c r="D222" s="421">
        <f t="shared" ref="D222:L222" si="142">D220-D221</f>
        <v>1330738.1498399749</v>
      </c>
      <c r="E222" s="421">
        <f t="shared" si="142"/>
        <v>1543418.8241158603</v>
      </c>
      <c r="F222" s="421">
        <f t="shared" si="142"/>
        <v>1789572.3189841397</v>
      </c>
      <c r="G222" s="421">
        <f t="shared" si="142"/>
        <v>2072680.8395726783</v>
      </c>
      <c r="H222" s="421">
        <f t="shared" si="142"/>
        <v>2400576.8401527097</v>
      </c>
      <c r="I222" s="421">
        <f t="shared" si="142"/>
        <v>2766914.032983683</v>
      </c>
      <c r="J222" s="421">
        <f>J220-J221</f>
        <v>3189155.68036348</v>
      </c>
      <c r="K222" s="421">
        <f t="shared" si="142"/>
        <v>3675833.0155372154</v>
      </c>
      <c r="L222" s="421">
        <f t="shared" si="142"/>
        <v>4236779.1705212202</v>
      </c>
      <c r="M222" s="421">
        <f>M220-M221</f>
        <v>4883327.8508270532</v>
      </c>
      <c r="N222" s="393"/>
      <c r="O222" s="566">
        <f t="shared" si="110"/>
        <v>0.25515555019210012</v>
      </c>
      <c r="P222" s="538">
        <f t="shared" si="111"/>
        <v>0.24560551320159443</v>
      </c>
      <c r="Q222" s="538">
        <f t="shared" si="112"/>
        <v>0.24560551320159441</v>
      </c>
      <c r="R222" s="538">
        <f t="shared" si="113"/>
        <v>0.24560551320159438</v>
      </c>
      <c r="S222" s="538">
        <f t="shared" si="114"/>
        <v>0.24560551320159441</v>
      </c>
      <c r="T222" s="538">
        <f t="shared" si="115"/>
        <v>0.24560551320159438</v>
      </c>
      <c r="U222" s="538">
        <f t="shared" si="116"/>
        <v>0.24560551320159443</v>
      </c>
      <c r="V222" s="538">
        <f t="shared" si="117"/>
        <v>0.24560551320159443</v>
      </c>
      <c r="W222" s="538">
        <f t="shared" si="118"/>
        <v>0.24560551320159441</v>
      </c>
      <c r="X222" s="538">
        <f t="shared" si="119"/>
        <v>0.24560551320159441</v>
      </c>
      <c r="Y222" s="539">
        <f t="shared" si="120"/>
        <v>0.24560551320159441</v>
      </c>
      <c r="Z222" s="539">
        <f t="shared" si="121"/>
        <v>0.24647369838254948</v>
      </c>
      <c r="AB222" s="571">
        <f t="shared" ref="AB222:AB232" si="143">+IF(C222=0,"",D222/C222-1)</f>
        <v>0.11592671995543369</v>
      </c>
      <c r="AC222" s="562">
        <f t="shared" si="122"/>
        <v>0.15982158045251871</v>
      </c>
      <c r="AD222" s="562">
        <f t="shared" ref="AD222:AD232" si="144">+IF(E222=0,"",F222/E222-1)</f>
        <v>0.1594858706024187</v>
      </c>
      <c r="AE222" s="562">
        <f t="shared" si="123"/>
        <v>0.15819898284370359</v>
      </c>
      <c r="AF222" s="562">
        <f t="shared" si="124"/>
        <v>0.15819898284370359</v>
      </c>
      <c r="AG222" s="562">
        <f t="shared" si="125"/>
        <v>0.15260381867537687</v>
      </c>
      <c r="AH222" s="562">
        <f t="shared" si="126"/>
        <v>0.15260381867537665</v>
      </c>
      <c r="AI222" s="562">
        <f t="shared" si="127"/>
        <v>0.15260381867537642</v>
      </c>
      <c r="AJ222" s="562">
        <f t="shared" si="128"/>
        <v>0.15260381867537687</v>
      </c>
      <c r="AK222" s="572">
        <f t="shared" si="129"/>
        <v>0.15260381867537665</v>
      </c>
      <c r="AL222" s="539">
        <f t="shared" si="130"/>
        <v>0.15146512300746617</v>
      </c>
      <c r="AN222" s="566">
        <f t="shared" si="131"/>
        <v>7.6681672975477344E-2</v>
      </c>
      <c r="AO222" s="538">
        <f t="shared" si="132"/>
        <v>0.11903283366541428</v>
      </c>
      <c r="AP222" s="538">
        <f t="shared" si="133"/>
        <v>0.11903283366541406</v>
      </c>
      <c r="AQ222" s="538">
        <f t="shared" si="134"/>
        <v>0.11903283366541428</v>
      </c>
      <c r="AR222" s="538">
        <f t="shared" si="135"/>
        <v>0.11903283366541428</v>
      </c>
      <c r="AS222" s="538">
        <f t="shared" si="136"/>
        <v>0.11903283366541451</v>
      </c>
      <c r="AT222" s="538">
        <f t="shared" si="137"/>
        <v>0.11903283366541428</v>
      </c>
      <c r="AU222" s="538">
        <f t="shared" si="138"/>
        <v>0.11903283366541406</v>
      </c>
      <c r="AV222" s="538">
        <f t="shared" si="139"/>
        <v>0.11903283366541451</v>
      </c>
      <c r="AW222" s="539">
        <f t="shared" si="140"/>
        <v>0.11903283366541428</v>
      </c>
      <c r="AX222" s="569">
        <f t="shared" si="141"/>
        <v>0.11479771759642059</v>
      </c>
    </row>
    <row r="223" spans="1:50">
      <c r="A223" s="369" t="s">
        <v>1205</v>
      </c>
      <c r="B223" s="383"/>
      <c r="C223" s="421">
        <f>C225</f>
        <v>1620765</v>
      </c>
      <c r="D223" s="421">
        <f>D225</f>
        <v>1726357.8739471836</v>
      </c>
      <c r="E223" s="421">
        <f>E225</f>
        <v>1838830.1258599733</v>
      </c>
      <c r="F223" s="421">
        <f t="shared" ref="F223:M223" si="145">F225</f>
        <v>1958063.0227748272</v>
      </c>
      <c r="G223" s="421">
        <f t="shared" si="145"/>
        <v>2082713.059456191</v>
      </c>
      <c r="H223" s="421">
        <f t="shared" si="145"/>
        <v>2215298.3012172394</v>
      </c>
      <c r="I223" s="421">
        <f t="shared" si="145"/>
        <v>2344940.6949216248</v>
      </c>
      <c r="J223" s="421">
        <f t="shared" si="145"/>
        <v>2482169.9450941291</v>
      </c>
      <c r="K223" s="421">
        <f t="shared" si="145"/>
        <v>2627430.0453191279</v>
      </c>
      <c r="L223" s="421">
        <f t="shared" si="145"/>
        <v>2781190.9723143</v>
      </c>
      <c r="M223" s="421">
        <f t="shared" si="145"/>
        <v>2943950.206500385</v>
      </c>
      <c r="N223" s="393"/>
      <c r="O223" s="566">
        <f t="shared" si="110"/>
        <v>0.34679125574182151</v>
      </c>
      <c r="P223" s="538">
        <f t="shared" si="111"/>
        <v>0.31862242143685371</v>
      </c>
      <c r="Q223" s="538">
        <f t="shared" si="112"/>
        <v>0.2926145578217263</v>
      </c>
      <c r="R223" s="538">
        <f t="shared" si="113"/>
        <v>0.26872961125296596</v>
      </c>
      <c r="S223" s="538">
        <f t="shared" si="114"/>
        <v>0.24679429657142057</v>
      </c>
      <c r="T223" s="538">
        <f t="shared" si="115"/>
        <v>0.22664947318681483</v>
      </c>
      <c r="U223" s="538">
        <f t="shared" si="116"/>
        <v>0.20814899051362235</v>
      </c>
      <c r="V223" s="538">
        <f t="shared" si="117"/>
        <v>0.1911586276493516</v>
      </c>
      <c r="W223" s="538">
        <f t="shared" si="118"/>
        <v>0.17555511960261935</v>
      </c>
      <c r="X223" s="538">
        <f t="shared" si="119"/>
        <v>0.16122526300629947</v>
      </c>
      <c r="Y223" s="539">
        <f t="shared" si="120"/>
        <v>0.14806509482770222</v>
      </c>
      <c r="Z223" s="539">
        <f t="shared" si="121"/>
        <v>0.23494133741919979</v>
      </c>
      <c r="AB223" s="571">
        <f t="shared" si="143"/>
        <v>6.5150021099408928E-2</v>
      </c>
      <c r="AC223" s="562">
        <f t="shared" si="122"/>
        <v>6.5150021099408928E-2</v>
      </c>
      <c r="AD223" s="562">
        <f t="shared" si="144"/>
        <v>6.4841713890831487E-2</v>
      </c>
      <c r="AE223" s="562">
        <f t="shared" si="123"/>
        <v>6.3659869591285556E-2</v>
      </c>
      <c r="AF223" s="562">
        <f t="shared" si="124"/>
        <v>6.3659869591285556E-2</v>
      </c>
      <c r="AG223" s="562">
        <f t="shared" si="125"/>
        <v>5.8521416114999392E-2</v>
      </c>
      <c r="AH223" s="562">
        <f t="shared" si="126"/>
        <v>5.8521416114999392E-2</v>
      </c>
      <c r="AI223" s="562">
        <f t="shared" si="127"/>
        <v>5.8521416114999392E-2</v>
      </c>
      <c r="AJ223" s="562">
        <f t="shared" si="128"/>
        <v>5.8521416114999392E-2</v>
      </c>
      <c r="AK223" s="572">
        <f t="shared" si="129"/>
        <v>5.8521416114999392E-2</v>
      </c>
      <c r="AL223" s="539">
        <f t="shared" si="130"/>
        <v>6.1506857584721741E-2</v>
      </c>
      <c r="AN223" s="566">
        <f t="shared" si="131"/>
        <v>2.7690695257280851E-2</v>
      </c>
      <c r="AO223" s="538">
        <f t="shared" si="132"/>
        <v>2.7690695257280851E-2</v>
      </c>
      <c r="AP223" s="538">
        <f t="shared" si="133"/>
        <v>2.7690695257280851E-2</v>
      </c>
      <c r="AQ223" s="538">
        <f t="shared" si="134"/>
        <v>2.7690695257280851E-2</v>
      </c>
      <c r="AR223" s="538">
        <f t="shared" si="135"/>
        <v>2.7690695257280851E-2</v>
      </c>
      <c r="AS223" s="538">
        <f t="shared" si="136"/>
        <v>2.7690695257280851E-2</v>
      </c>
      <c r="AT223" s="538">
        <f t="shared" si="137"/>
        <v>2.7690695257280851E-2</v>
      </c>
      <c r="AU223" s="538">
        <f t="shared" si="138"/>
        <v>2.7690695257280851E-2</v>
      </c>
      <c r="AV223" s="538">
        <f t="shared" si="139"/>
        <v>2.7690695257280851E-2</v>
      </c>
      <c r="AW223" s="539">
        <f t="shared" si="140"/>
        <v>2.7690695257280851E-2</v>
      </c>
      <c r="AX223" s="569">
        <f t="shared" si="141"/>
        <v>2.7690695257280851E-2</v>
      </c>
    </row>
    <row r="224" spans="1:50">
      <c r="A224" s="362" t="s">
        <v>323</v>
      </c>
      <c r="B224" s="383"/>
      <c r="C224" s="421">
        <f>ANEXOS!E92</f>
        <v>1484205.5144323283</v>
      </c>
      <c r="D224" s="421">
        <f t="shared" ref="D224:M224" si="146">D103</f>
        <v>1577754.2375010818</v>
      </c>
      <c r="E224" s="421">
        <f t="shared" si="146"/>
        <v>1677199.2892808504</v>
      </c>
      <c r="F224" s="421">
        <f t="shared" si="146"/>
        <v>1782396.2491983159</v>
      </c>
      <c r="G224" s="421">
        <f t="shared" si="146"/>
        <v>1892089.0307473389</v>
      </c>
      <c r="H224" s="421">
        <f t="shared" si="146"/>
        <v>2008532.5594040118</v>
      </c>
      <c r="I224" s="421">
        <f t="shared" si="146"/>
        <v>2121842.0874280194</v>
      </c>
      <c r="J224" s="421">
        <f t="shared" si="146"/>
        <v>2241543.8688814826</v>
      </c>
      <c r="K224" s="421">
        <f t="shared" si="146"/>
        <v>2367998.5168974623</v>
      </c>
      <c r="L224" s="421">
        <f t="shared" si="146"/>
        <v>2501586.9882692276</v>
      </c>
      <c r="M224" s="421">
        <f t="shared" si="146"/>
        <v>2642711.7311192481</v>
      </c>
      <c r="N224" s="393"/>
      <c r="O224" s="566">
        <f t="shared" si="110"/>
        <v>0.31757194542634087</v>
      </c>
      <c r="P224" s="538">
        <f t="shared" si="111"/>
        <v>0.29119563398256981</v>
      </c>
      <c r="Q224" s="538">
        <f t="shared" si="112"/>
        <v>0.2668941092001676</v>
      </c>
      <c r="R224" s="538">
        <f t="shared" si="113"/>
        <v>0.24462065090582633</v>
      </c>
      <c r="S224" s="538">
        <f t="shared" si="114"/>
        <v>0.22420600825142745</v>
      </c>
      <c r="T224" s="538">
        <f t="shared" si="115"/>
        <v>0.20549505509815427</v>
      </c>
      <c r="U224" s="538">
        <f t="shared" si="116"/>
        <v>0.18834561124891094</v>
      </c>
      <c r="V224" s="538">
        <f t="shared" si="117"/>
        <v>0.17262736205395199</v>
      </c>
      <c r="W224" s="538">
        <f t="shared" si="118"/>
        <v>0.15822086818005712</v>
      </c>
      <c r="X224" s="538">
        <f t="shared" si="119"/>
        <v>0.14501665801871588</v>
      </c>
      <c r="Y224" s="539">
        <f t="shared" si="120"/>
        <v>0.13291439583674269</v>
      </c>
      <c r="Z224" s="539">
        <f t="shared" si="121"/>
        <v>0.21337348165480596</v>
      </c>
      <c r="AB224" s="571">
        <f t="shared" si="143"/>
        <v>6.3029494338278091E-2</v>
      </c>
      <c r="AC224" s="562">
        <f t="shared" si="122"/>
        <v>6.3029494338278091E-2</v>
      </c>
      <c r="AD224" s="562">
        <f t="shared" si="144"/>
        <v>6.2721800915245929E-2</v>
      </c>
      <c r="AE224" s="562">
        <f t="shared" si="123"/>
        <v>6.1542309460290046E-2</v>
      </c>
      <c r="AF224" s="562">
        <f t="shared" si="124"/>
        <v>6.1542309460290046E-2</v>
      </c>
      <c r="AG224" s="562">
        <f t="shared" si="125"/>
        <v>5.6414085743090814E-2</v>
      </c>
      <c r="AH224" s="562">
        <f t="shared" si="126"/>
        <v>5.6414085743090814E-2</v>
      </c>
      <c r="AI224" s="562">
        <f t="shared" si="127"/>
        <v>5.6414085743090814E-2</v>
      </c>
      <c r="AJ224" s="562">
        <f t="shared" si="128"/>
        <v>5.6414085743090814E-2</v>
      </c>
      <c r="AK224" s="572">
        <f t="shared" si="129"/>
        <v>5.6414085743090814E-2</v>
      </c>
      <c r="AL224" s="539">
        <f t="shared" si="130"/>
        <v>5.9393583722783624E-2</v>
      </c>
      <c r="AN224" s="566">
        <f t="shared" si="131"/>
        <v>2.5644743439893869E-2</v>
      </c>
      <c r="AO224" s="538">
        <f t="shared" si="132"/>
        <v>2.5644743439893869E-2</v>
      </c>
      <c r="AP224" s="538">
        <f t="shared" si="133"/>
        <v>2.5644743439893869E-2</v>
      </c>
      <c r="AQ224" s="538">
        <f t="shared" si="134"/>
        <v>2.5644743439893869E-2</v>
      </c>
      <c r="AR224" s="538">
        <f t="shared" si="135"/>
        <v>2.5644743439893869E-2</v>
      </c>
      <c r="AS224" s="538">
        <f t="shared" si="136"/>
        <v>2.5644743439893869E-2</v>
      </c>
      <c r="AT224" s="538">
        <f t="shared" si="137"/>
        <v>2.5644743439893869E-2</v>
      </c>
      <c r="AU224" s="538">
        <f t="shared" si="138"/>
        <v>2.5644743439893869E-2</v>
      </c>
      <c r="AV224" s="538">
        <f t="shared" si="139"/>
        <v>2.5644743439893869E-2</v>
      </c>
      <c r="AW224" s="539">
        <f t="shared" si="140"/>
        <v>2.5644743439893869E-2</v>
      </c>
      <c r="AX224" s="569">
        <f t="shared" si="141"/>
        <v>2.5644743439893869E-2</v>
      </c>
    </row>
    <row r="225" spans="1:50" ht="22.5">
      <c r="A225" s="354" t="s">
        <v>322</v>
      </c>
      <c r="B225" s="383"/>
      <c r="C225" s="421">
        <f>ANEXOS!B92</f>
        <v>1620765</v>
      </c>
      <c r="D225" s="421">
        <f>D107</f>
        <v>1726357.8739471836</v>
      </c>
      <c r="E225" s="421">
        <f t="shared" ref="E225:M225" si="147">E107</f>
        <v>1838830.1258599733</v>
      </c>
      <c r="F225" s="421">
        <f t="shared" si="147"/>
        <v>1958063.0227748272</v>
      </c>
      <c r="G225" s="421">
        <f t="shared" si="147"/>
        <v>2082713.059456191</v>
      </c>
      <c r="H225" s="421">
        <f t="shared" si="147"/>
        <v>2215298.3012172394</v>
      </c>
      <c r="I225" s="421">
        <f t="shared" si="147"/>
        <v>2344940.6949216248</v>
      </c>
      <c r="J225" s="421">
        <f t="shared" si="147"/>
        <v>2482169.9450941291</v>
      </c>
      <c r="K225" s="421">
        <f t="shared" si="147"/>
        <v>2627430.0453191279</v>
      </c>
      <c r="L225" s="421">
        <f t="shared" si="147"/>
        <v>2781190.9723143</v>
      </c>
      <c r="M225" s="421">
        <f t="shared" si="147"/>
        <v>2943950.206500385</v>
      </c>
      <c r="N225" s="393"/>
      <c r="O225" s="566">
        <f t="shared" si="110"/>
        <v>0.34679125574182151</v>
      </c>
      <c r="P225" s="538">
        <f t="shared" si="111"/>
        <v>0.31862242143685371</v>
      </c>
      <c r="Q225" s="538">
        <f t="shared" si="112"/>
        <v>0.2926145578217263</v>
      </c>
      <c r="R225" s="538">
        <f t="shared" si="113"/>
        <v>0.26872961125296596</v>
      </c>
      <c r="S225" s="538">
        <f t="shared" si="114"/>
        <v>0.24679429657142057</v>
      </c>
      <c r="T225" s="538">
        <f t="shared" si="115"/>
        <v>0.22664947318681483</v>
      </c>
      <c r="U225" s="538">
        <f t="shared" si="116"/>
        <v>0.20814899051362235</v>
      </c>
      <c r="V225" s="538">
        <f t="shared" si="117"/>
        <v>0.1911586276493516</v>
      </c>
      <c r="W225" s="538">
        <f t="shared" si="118"/>
        <v>0.17555511960261935</v>
      </c>
      <c r="X225" s="538">
        <f t="shared" si="119"/>
        <v>0.16122526300629947</v>
      </c>
      <c r="Y225" s="539">
        <f t="shared" si="120"/>
        <v>0.14806509482770222</v>
      </c>
      <c r="Z225" s="539">
        <f t="shared" si="121"/>
        <v>0.23494133741919979</v>
      </c>
      <c r="AB225" s="571">
        <f t="shared" si="143"/>
        <v>6.5150021099408928E-2</v>
      </c>
      <c r="AC225" s="562">
        <f t="shared" si="122"/>
        <v>6.5150021099408928E-2</v>
      </c>
      <c r="AD225" s="562">
        <f t="shared" si="144"/>
        <v>6.4841713890831487E-2</v>
      </c>
      <c r="AE225" s="562">
        <f t="shared" si="123"/>
        <v>6.3659869591285556E-2</v>
      </c>
      <c r="AF225" s="562">
        <f t="shared" si="124"/>
        <v>6.3659869591285556E-2</v>
      </c>
      <c r="AG225" s="562">
        <f t="shared" si="125"/>
        <v>5.8521416114999392E-2</v>
      </c>
      <c r="AH225" s="562">
        <f t="shared" si="126"/>
        <v>5.8521416114999392E-2</v>
      </c>
      <c r="AI225" s="562">
        <f t="shared" si="127"/>
        <v>5.8521416114999392E-2</v>
      </c>
      <c r="AJ225" s="562">
        <f t="shared" si="128"/>
        <v>5.8521416114999392E-2</v>
      </c>
      <c r="AK225" s="572">
        <f t="shared" si="129"/>
        <v>5.8521416114999392E-2</v>
      </c>
      <c r="AL225" s="539">
        <f t="shared" si="130"/>
        <v>6.1506857584721741E-2</v>
      </c>
      <c r="AN225" s="566">
        <f t="shared" si="131"/>
        <v>2.7690695257280851E-2</v>
      </c>
      <c r="AO225" s="538">
        <f t="shared" si="132"/>
        <v>2.7690695257280851E-2</v>
      </c>
      <c r="AP225" s="538">
        <f t="shared" si="133"/>
        <v>2.7690695257280851E-2</v>
      </c>
      <c r="AQ225" s="538">
        <f t="shared" si="134"/>
        <v>2.7690695257280851E-2</v>
      </c>
      <c r="AR225" s="538">
        <f t="shared" si="135"/>
        <v>2.7690695257280851E-2</v>
      </c>
      <c r="AS225" s="538">
        <f t="shared" si="136"/>
        <v>2.7690695257280851E-2</v>
      </c>
      <c r="AT225" s="538">
        <f t="shared" si="137"/>
        <v>2.7690695257280851E-2</v>
      </c>
      <c r="AU225" s="538">
        <f t="shared" si="138"/>
        <v>2.7690695257280851E-2</v>
      </c>
      <c r="AV225" s="538">
        <f t="shared" si="139"/>
        <v>2.7690695257280851E-2</v>
      </c>
      <c r="AW225" s="539">
        <f t="shared" si="140"/>
        <v>2.7690695257280851E-2</v>
      </c>
      <c r="AX225" s="569">
        <f t="shared" si="141"/>
        <v>2.7690695257280851E-2</v>
      </c>
    </row>
    <row r="226" spans="1:50">
      <c r="A226" s="361" t="s">
        <v>321</v>
      </c>
      <c r="B226" s="383"/>
      <c r="C226" s="421"/>
      <c r="D226" s="421">
        <f>D85</f>
        <v>5967.4</v>
      </c>
      <c r="E226" s="421">
        <f>E85</f>
        <v>7160.8799999999992</v>
      </c>
      <c r="F226" s="421">
        <f>F85</f>
        <v>8593.0559999999987</v>
      </c>
      <c r="G226" s="421">
        <f>G85</f>
        <v>10311.667199999998</v>
      </c>
      <c r="H226" s="421">
        <f>H85</f>
        <v>7074.0006399999993</v>
      </c>
      <c r="I226" s="421">
        <f t="shared" ref="I226:M226" si="148">I85</f>
        <v>7821.4007679999995</v>
      </c>
      <c r="J226" s="421">
        <f t="shared" si="148"/>
        <v>8192.2009215999988</v>
      </c>
      <c r="K226" s="421">
        <f t="shared" si="148"/>
        <v>8398.4651059199987</v>
      </c>
      <c r="L226" s="421">
        <f t="shared" si="148"/>
        <v>8359.5469271039983</v>
      </c>
      <c r="M226" s="421">
        <f t="shared" si="148"/>
        <v>7969.1228725247984</v>
      </c>
      <c r="N226" s="393"/>
      <c r="O226" s="566">
        <f t="shared" si="110"/>
        <v>0</v>
      </c>
      <c r="P226" s="538">
        <f t="shared" si="111"/>
        <v>1.1013634347639618E-3</v>
      </c>
      <c r="Q226" s="538">
        <f t="shared" si="112"/>
        <v>1.1395167532588085E-3</v>
      </c>
      <c r="R226" s="538">
        <f t="shared" si="113"/>
        <v>1.1793331325375424E-3</v>
      </c>
      <c r="S226" s="538">
        <f t="shared" si="114"/>
        <v>1.2218969106416744E-3</v>
      </c>
      <c r="T226" s="538">
        <f t="shared" si="115"/>
        <v>7.237483626914786E-4</v>
      </c>
      <c r="U226" s="538">
        <f t="shared" si="116"/>
        <v>6.9426773896134018E-4</v>
      </c>
      <c r="V226" s="538">
        <f t="shared" si="117"/>
        <v>6.3090357237462354E-4</v>
      </c>
      <c r="W226" s="538">
        <f t="shared" si="118"/>
        <v>5.611542536688662E-4</v>
      </c>
      <c r="X226" s="538">
        <f t="shared" si="119"/>
        <v>4.8460180021882163E-4</v>
      </c>
      <c r="Y226" s="539">
        <f t="shared" si="120"/>
        <v>4.008046505707231E-4</v>
      </c>
      <c r="Z226" s="539">
        <f t="shared" si="121"/>
        <v>7.3978096451707634E-4</v>
      </c>
      <c r="AB226" s="571" t="str">
        <f t="shared" si="143"/>
        <v/>
      </c>
      <c r="AC226" s="562">
        <f t="shared" si="122"/>
        <v>0.19999999999999996</v>
      </c>
      <c r="AD226" s="562">
        <f t="shared" si="144"/>
        <v>0.19999999999999996</v>
      </c>
      <c r="AE226" s="562">
        <f t="shared" si="123"/>
        <v>0.19999999999999996</v>
      </c>
      <c r="AF226" s="562">
        <f t="shared" si="124"/>
        <v>-0.31398090116795074</v>
      </c>
      <c r="AG226" s="562">
        <f t="shared" si="125"/>
        <v>0.10565451800694214</v>
      </c>
      <c r="AH226" s="562">
        <f t="shared" si="126"/>
        <v>4.7408407342719006E-2</v>
      </c>
      <c r="AI226" s="562">
        <f t="shared" si="127"/>
        <v>2.5178115904866516E-2</v>
      </c>
      <c r="AJ226" s="562">
        <f t="shared" si="128"/>
        <v>-4.6339632689034183E-3</v>
      </c>
      <c r="AK226" s="572">
        <f t="shared" si="129"/>
        <v>-4.6703973072193095E-2</v>
      </c>
      <c r="AL226" s="539">
        <f t="shared" si="130"/>
        <v>4.5880244860608918E-2</v>
      </c>
      <c r="AN226" s="566">
        <f t="shared" si="131"/>
        <v>0</v>
      </c>
      <c r="AO226" s="538">
        <f t="shared" si="132"/>
        <v>0.15779825365430056</v>
      </c>
      <c r="AP226" s="538">
        <f t="shared" si="133"/>
        <v>0.15813347488298035</v>
      </c>
      <c r="AQ226" s="538">
        <f t="shared" si="134"/>
        <v>0.15942028985507251</v>
      </c>
      <c r="AR226" s="538">
        <f t="shared" si="135"/>
        <v>-0.33717961465502477</v>
      </c>
      <c r="AS226" s="538">
        <f t="shared" si="136"/>
        <v>7.345098835625441E-2</v>
      </c>
      <c r="AT226" s="538">
        <f t="shared" si="137"/>
        <v>1.6901366352154445E-2</v>
      </c>
      <c r="AU226" s="538">
        <f t="shared" si="138"/>
        <v>-4.6814408690616371E-3</v>
      </c>
      <c r="AV226" s="538">
        <f t="shared" si="139"/>
        <v>-3.3625207057187856E-2</v>
      </c>
      <c r="AW226" s="539">
        <f t="shared" si="140"/>
        <v>-7.4469876769119536E-2</v>
      </c>
      <c r="AX226" s="569">
        <f t="shared" si="141"/>
        <v>1.1574823375036847E-2</v>
      </c>
    </row>
    <row r="227" spans="1:50" ht="22.5">
      <c r="A227" s="362" t="s">
        <v>320</v>
      </c>
      <c r="B227" s="383"/>
      <c r="C227" s="421">
        <f>C222-C223</f>
        <v>-428269</v>
      </c>
      <c r="D227" s="421">
        <f>D222-D223-D226</f>
        <v>-401587.12410720869</v>
      </c>
      <c r="E227" s="421">
        <f>E222-E223-E226</f>
        <v>-302572.18174411298</v>
      </c>
      <c r="F227" s="421">
        <f>F222-F223-F226</f>
        <v>-177083.7597906875</v>
      </c>
      <c r="G227" s="421">
        <f t="shared" ref="G227:M227" si="149">G222-G223-G226</f>
        <v>-20343.887083512702</v>
      </c>
      <c r="H227" s="421">
        <f t="shared" si="149"/>
        <v>178204.53829547038</v>
      </c>
      <c r="I227" s="421">
        <f t="shared" si="149"/>
        <v>414151.93729405821</v>
      </c>
      <c r="J227" s="421">
        <f t="shared" si="149"/>
        <v>698793.53434775095</v>
      </c>
      <c r="K227" s="421">
        <f t="shared" si="149"/>
        <v>1040004.5051121676</v>
      </c>
      <c r="L227" s="421">
        <f t="shared" si="149"/>
        <v>1447228.6512798162</v>
      </c>
      <c r="M227" s="421">
        <f t="shared" si="149"/>
        <v>1931408.5214541433</v>
      </c>
      <c r="N227" s="393"/>
      <c r="O227" s="566">
        <f t="shared" si="110"/>
        <v>-9.1635705549721377E-2</v>
      </c>
      <c r="P227" s="538">
        <f t="shared" si="111"/>
        <v>-7.4118271670023259E-2</v>
      </c>
      <c r="Q227" s="538">
        <f t="shared" si="112"/>
        <v>-4.8148561373390672E-2</v>
      </c>
      <c r="R227" s="538">
        <f t="shared" si="113"/>
        <v>-2.4303431183909104E-2</v>
      </c>
      <c r="S227" s="538">
        <f t="shared" si="114"/>
        <v>-2.4106802804678604E-3</v>
      </c>
      <c r="T227" s="538">
        <f t="shared" si="115"/>
        <v>1.8232291652088058E-2</v>
      </c>
      <c r="U227" s="538">
        <f t="shared" si="116"/>
        <v>3.676225494901076E-2</v>
      </c>
      <c r="V227" s="538">
        <f t="shared" si="117"/>
        <v>5.3815981979868213E-2</v>
      </c>
      <c r="W227" s="538">
        <f t="shared" si="118"/>
        <v>6.9489239345306181E-2</v>
      </c>
      <c r="X227" s="538">
        <f t="shared" si="119"/>
        <v>8.3895648395076128E-2</v>
      </c>
      <c r="Y227" s="539">
        <f t="shared" si="120"/>
        <v>9.7139613723321458E-2</v>
      </c>
      <c r="Z227" s="539">
        <f t="shared" si="121"/>
        <v>1.0792579998832593E-2</v>
      </c>
      <c r="AB227" s="571">
        <f t="shared" si="143"/>
        <v>-6.2301674631578097E-2</v>
      </c>
      <c r="AC227" s="562">
        <f t="shared" si="122"/>
        <v>-0.24655905635227093</v>
      </c>
      <c r="AD227" s="562">
        <f t="shared" si="144"/>
        <v>-0.41473879465744068</v>
      </c>
      <c r="AE227" s="562">
        <f t="shared" si="123"/>
        <v>-0.8851171496044633</v>
      </c>
      <c r="AF227" s="562">
        <f t="shared" si="124"/>
        <v>-9.7596110597710055</v>
      </c>
      <c r="AG227" s="562">
        <f t="shared" si="125"/>
        <v>1.3240257585773572</v>
      </c>
      <c r="AH227" s="562">
        <f t="shared" si="126"/>
        <v>0.68728785603045517</v>
      </c>
      <c r="AI227" s="562">
        <f t="shared" si="127"/>
        <v>0.48828581547037442</v>
      </c>
      <c r="AJ227" s="562">
        <f t="shared" si="128"/>
        <v>0.39155998283269766</v>
      </c>
      <c r="AK227" s="572">
        <f t="shared" si="129"/>
        <v>0.33455658146772893</v>
      </c>
      <c r="AL227" s="539">
        <f t="shared" si="130"/>
        <v>-0.81426117406381471</v>
      </c>
      <c r="AN227" s="566">
        <f t="shared" si="131"/>
        <v>-9.5278763694899071E-2</v>
      </c>
      <c r="AO227" s="538">
        <f t="shared" si="132"/>
        <v>-0.27305615934417582</v>
      </c>
      <c r="AP227" s="538">
        <f t="shared" si="133"/>
        <v>-0.43515783878535019</v>
      </c>
      <c r="AQ227" s="538">
        <f t="shared" si="134"/>
        <v>-0.88900207691252486</v>
      </c>
      <c r="AR227" s="538">
        <f t="shared" si="135"/>
        <v>-9.4633923282811647</v>
      </c>
      <c r="AS227" s="538">
        <f t="shared" si="136"/>
        <v>1.2563356879391816</v>
      </c>
      <c r="AT227" s="538">
        <f t="shared" si="137"/>
        <v>0.63814354954413122</v>
      </c>
      <c r="AU227" s="538">
        <f t="shared" si="138"/>
        <v>0.44493768492269359</v>
      </c>
      <c r="AV227" s="538">
        <f t="shared" si="139"/>
        <v>0.35102910954630828</v>
      </c>
      <c r="AW227" s="539">
        <f t="shared" si="140"/>
        <v>0.29568600142497958</v>
      </c>
      <c r="AX227" s="569">
        <f t="shared" si="141"/>
        <v>-0.81697551336408214</v>
      </c>
    </row>
    <row r="228" spans="1:50">
      <c r="A228" s="361" t="s">
        <v>319</v>
      </c>
      <c r="B228" s="383"/>
      <c r="C228" s="421">
        <f>'ANTONIO ARAUJO &amp; CIA'!L80</f>
        <v>658118</v>
      </c>
      <c r="D228" s="421">
        <f>D68*C240</f>
        <v>4439.3959274153176</v>
      </c>
      <c r="E228" s="421">
        <f t="shared" ref="E228:I228" si="150">E68*D170</f>
        <v>0</v>
      </c>
      <c r="F228" s="421">
        <f t="shared" si="150"/>
        <v>1.2267172435105478E-11</v>
      </c>
      <c r="G228" s="421">
        <f t="shared" si="150"/>
        <v>0</v>
      </c>
      <c r="H228" s="421">
        <f t="shared" si="150"/>
        <v>3.0304571398730372E-11</v>
      </c>
      <c r="I228" s="421">
        <f t="shared" si="150"/>
        <v>1.1489898665521201E-11</v>
      </c>
      <c r="J228" s="421">
        <f t="shared" ref="J228" si="151">J68*I170</f>
        <v>0</v>
      </c>
      <c r="K228" s="421">
        <f t="shared" ref="K228" si="152">K68*J170</f>
        <v>0</v>
      </c>
      <c r="L228" s="421">
        <f t="shared" ref="L228" si="153">L68*K170</f>
        <v>0</v>
      </c>
      <c r="M228" s="421">
        <f t="shared" ref="M228" si="154">M68*L170</f>
        <v>0</v>
      </c>
      <c r="N228" s="393"/>
      <c r="O228" s="566">
        <f t="shared" si="110"/>
        <v>0.140815952742252</v>
      </c>
      <c r="P228" s="538">
        <f t="shared" si="111"/>
        <v>8.1934985871489729E-4</v>
      </c>
      <c r="Q228" s="538">
        <f t="shared" si="112"/>
        <v>0</v>
      </c>
      <c r="R228" s="538">
        <f t="shared" si="113"/>
        <v>1.6835783329319789E-18</v>
      </c>
      <c r="S228" s="538">
        <f t="shared" si="114"/>
        <v>0</v>
      </c>
      <c r="T228" s="538">
        <f t="shared" si="115"/>
        <v>3.1004922176396805E-18</v>
      </c>
      <c r="U228" s="538">
        <f t="shared" si="116"/>
        <v>1.0199024706729266E-18</v>
      </c>
      <c r="V228" s="538">
        <f t="shared" si="117"/>
        <v>0</v>
      </c>
      <c r="W228" s="538">
        <f t="shared" si="118"/>
        <v>0</v>
      </c>
      <c r="X228" s="538">
        <f t="shared" si="119"/>
        <v>0</v>
      </c>
      <c r="Y228" s="539">
        <f t="shared" si="120"/>
        <v>0</v>
      </c>
      <c r="Z228" s="539">
        <f t="shared" si="121"/>
        <v>1.2875936600087901E-2</v>
      </c>
      <c r="AB228" s="571">
        <f t="shared" si="143"/>
        <v>-0.9932544073746421</v>
      </c>
      <c r="AC228" s="562">
        <f t="shared" si="122"/>
        <v>-1</v>
      </c>
      <c r="AD228" s="562" t="str">
        <f t="shared" si="144"/>
        <v/>
      </c>
      <c r="AE228" s="562">
        <f t="shared" si="123"/>
        <v>-1</v>
      </c>
      <c r="AF228" s="562" t="str">
        <f t="shared" si="124"/>
        <v/>
      </c>
      <c r="AG228" s="562">
        <f t="shared" si="125"/>
        <v>-0.62085262601659574</v>
      </c>
      <c r="AH228" s="562">
        <f t="shared" si="126"/>
        <v>-1</v>
      </c>
      <c r="AI228" s="562" t="str">
        <f t="shared" si="127"/>
        <v/>
      </c>
      <c r="AJ228" s="562" t="str">
        <f t="shared" si="128"/>
        <v/>
      </c>
      <c r="AK228" s="572" t="str">
        <f t="shared" si="129"/>
        <v/>
      </c>
      <c r="AL228" s="539">
        <f t="shared" si="130"/>
        <v>-0.92282140667824741</v>
      </c>
      <c r="AN228" s="566">
        <f t="shared" si="131"/>
        <v>-0.99349163719874778</v>
      </c>
      <c r="AO228" s="538">
        <f t="shared" si="132"/>
        <v>-1</v>
      </c>
      <c r="AP228" s="538">
        <f t="shared" si="133"/>
        <v>0</v>
      </c>
      <c r="AQ228" s="538">
        <f t="shared" si="134"/>
        <v>-1</v>
      </c>
      <c r="AR228" s="538">
        <f t="shared" si="135"/>
        <v>0</v>
      </c>
      <c r="AS228" s="538">
        <f t="shared" si="136"/>
        <v>-0.6318957534141707</v>
      </c>
      <c r="AT228" s="538">
        <f t="shared" si="137"/>
        <v>-1</v>
      </c>
      <c r="AU228" s="538">
        <f t="shared" si="138"/>
        <v>0</v>
      </c>
      <c r="AV228" s="538">
        <f t="shared" si="139"/>
        <v>0</v>
      </c>
      <c r="AW228" s="539">
        <f t="shared" si="140"/>
        <v>0</v>
      </c>
      <c r="AX228" s="569">
        <f t="shared" si="141"/>
        <v>-0.46253873906129178</v>
      </c>
    </row>
    <row r="229" spans="1:50" ht="22.5">
      <c r="A229" s="362" t="s">
        <v>318</v>
      </c>
      <c r="B229" s="383"/>
      <c r="C229" s="421">
        <f>'ANTONIO ARAUJO &amp; CIA'!L81</f>
        <v>121159</v>
      </c>
      <c r="D229" s="421">
        <f t="shared" ref="D229:M229" si="155">D213+D188+D180</f>
        <v>16048.17892418261</v>
      </c>
      <c r="E229" s="421">
        <f t="shared" si="155"/>
        <v>173169.68543542869</v>
      </c>
      <c r="F229" s="421">
        <f t="shared" si="155"/>
        <v>361748.87430095999</v>
      </c>
      <c r="G229" s="421">
        <f t="shared" si="155"/>
        <v>550756.08521082893</v>
      </c>
      <c r="H229" s="421">
        <f t="shared" si="155"/>
        <v>763890.90425548458</v>
      </c>
      <c r="I229" s="421">
        <f t="shared" si="155"/>
        <v>964101.95820205112</v>
      </c>
      <c r="J229" s="421">
        <f t="shared" si="155"/>
        <v>1200397.2403329981</v>
      </c>
      <c r="K229" s="421">
        <f t="shared" si="155"/>
        <v>1454706.5411327295</v>
      </c>
      <c r="L229" s="421">
        <f t="shared" si="155"/>
        <v>1723262.2124452819</v>
      </c>
      <c r="M229" s="421">
        <f t="shared" si="155"/>
        <v>2002464.0037573597</v>
      </c>
      <c r="N229" s="393"/>
      <c r="O229" s="566">
        <f t="shared" si="110"/>
        <v>2.5924104823600802E-2</v>
      </c>
      <c r="P229" s="538">
        <f t="shared" si="111"/>
        <v>2.9619059325073538E-3</v>
      </c>
      <c r="Q229" s="538">
        <f t="shared" si="112"/>
        <v>2.7556635177552049E-2</v>
      </c>
      <c r="R229" s="538">
        <f t="shared" si="113"/>
        <v>4.9647347011503341E-2</v>
      </c>
      <c r="S229" s="538">
        <f t="shared" si="114"/>
        <v>6.5262691859975339E-2</v>
      </c>
      <c r="T229" s="538">
        <f t="shared" si="115"/>
        <v>7.8154472888176049E-2</v>
      </c>
      <c r="U229" s="538">
        <f t="shared" si="116"/>
        <v>8.5578645884974366E-2</v>
      </c>
      <c r="V229" s="538">
        <f t="shared" si="117"/>
        <v>9.2445841409711765E-2</v>
      </c>
      <c r="W229" s="538">
        <f t="shared" si="118"/>
        <v>9.7198089543902744E-2</v>
      </c>
      <c r="X229" s="538">
        <f t="shared" si="119"/>
        <v>9.9897276453157699E-2</v>
      </c>
      <c r="Y229" s="539">
        <f t="shared" si="120"/>
        <v>0.10071332794648438</v>
      </c>
      <c r="Z229" s="539">
        <f t="shared" si="121"/>
        <v>6.5940030811958719E-2</v>
      </c>
      <c r="AB229" s="571">
        <f t="shared" si="143"/>
        <v>-0.86754447524176814</v>
      </c>
      <c r="AC229" s="562">
        <f t="shared" si="122"/>
        <v>9.7906128323683816</v>
      </c>
      <c r="AD229" s="562">
        <f t="shared" si="144"/>
        <v>1.0889849940614953</v>
      </c>
      <c r="AE229" s="562">
        <f t="shared" si="123"/>
        <v>0.52248182188570635</v>
      </c>
      <c r="AF229" s="562">
        <f t="shared" si="124"/>
        <v>0.38698586319399064</v>
      </c>
      <c r="AG229" s="562">
        <f t="shared" si="125"/>
        <v>0.26209377913944332</v>
      </c>
      <c r="AH229" s="562">
        <f t="shared" si="126"/>
        <v>0.24509366475265004</v>
      </c>
      <c r="AI229" s="562">
        <f t="shared" si="127"/>
        <v>0.21185428644369786</v>
      </c>
      <c r="AJ229" s="562">
        <f t="shared" si="128"/>
        <v>0.18461157884354984</v>
      </c>
      <c r="AK229" s="572">
        <f t="shared" si="129"/>
        <v>0.16201933129833734</v>
      </c>
      <c r="AL229" s="539">
        <f t="shared" si="130"/>
        <v>1.1987193676745482</v>
      </c>
      <c r="AN229" s="566">
        <f t="shared" si="131"/>
        <v>-0.87220268729004602</v>
      </c>
      <c r="AO229" s="538">
        <f t="shared" si="132"/>
        <v>9.4111272443131657</v>
      </c>
      <c r="AP229" s="538">
        <f t="shared" si="133"/>
        <v>1.0161028751257013</v>
      </c>
      <c r="AQ229" s="538">
        <f t="shared" si="134"/>
        <v>0.47099692935817061</v>
      </c>
      <c r="AR229" s="538">
        <f t="shared" si="135"/>
        <v>0.34008295960772061</v>
      </c>
      <c r="AS229" s="538">
        <f t="shared" si="136"/>
        <v>0.22533376615479939</v>
      </c>
      <c r="AT229" s="538">
        <f t="shared" si="137"/>
        <v>0.20882880073072818</v>
      </c>
      <c r="AU229" s="538">
        <f t="shared" si="138"/>
        <v>0.1765575596540756</v>
      </c>
      <c r="AV229" s="538">
        <f t="shared" si="139"/>
        <v>0.15010832897432014</v>
      </c>
      <c r="AW229" s="539">
        <f t="shared" si="140"/>
        <v>0.12817410805663809</v>
      </c>
      <c r="AX229" s="569">
        <f t="shared" si="141"/>
        <v>1.1255109884685273</v>
      </c>
    </row>
    <row r="230" spans="1:50">
      <c r="A230" s="361" t="s">
        <v>317</v>
      </c>
      <c r="B230" s="383"/>
      <c r="C230" s="421">
        <f t="shared" ref="C230:M230" si="156">C227+C228-C229</f>
        <v>108690</v>
      </c>
      <c r="D230" s="421">
        <f>D227+D228-D229</f>
        <v>-413195.90710397594</v>
      </c>
      <c r="E230" s="421">
        <f>E227+E228-E229</f>
        <v>-475741.86717954167</v>
      </c>
      <c r="F230" s="421">
        <f t="shared" si="156"/>
        <v>-538832.63409164746</v>
      </c>
      <c r="G230" s="421">
        <f t="shared" si="156"/>
        <v>-571099.97229434166</v>
      </c>
      <c r="H230" s="421">
        <f t="shared" si="156"/>
        <v>-585686.36596001417</v>
      </c>
      <c r="I230" s="421">
        <f t="shared" si="156"/>
        <v>-549950.02090799296</v>
      </c>
      <c r="J230" s="421">
        <f t="shared" si="156"/>
        <v>-501603.70598524716</v>
      </c>
      <c r="K230" s="421">
        <f t="shared" si="156"/>
        <v>-414702.03602056194</v>
      </c>
      <c r="L230" s="421">
        <f t="shared" si="156"/>
        <v>-276033.56116546574</v>
      </c>
      <c r="M230" s="421">
        <f t="shared" si="156"/>
        <v>-71055.482303216355</v>
      </c>
      <c r="N230" s="393"/>
      <c r="O230" s="566">
        <f t="shared" si="110"/>
        <v>2.3256142368929845E-2</v>
      </c>
      <c r="P230" s="538">
        <f t="shared" si="111"/>
        <v>-7.6260827743815707E-2</v>
      </c>
      <c r="Q230" s="538">
        <f t="shared" si="112"/>
        <v>-7.5705196550942724E-2</v>
      </c>
      <c r="R230" s="538">
        <f t="shared" si="113"/>
        <v>-7.3950778195412445E-2</v>
      </c>
      <c r="S230" s="538">
        <f t="shared" si="114"/>
        <v>-6.7673372140443208E-2</v>
      </c>
      <c r="T230" s="538">
        <f t="shared" si="115"/>
        <v>-5.9922181236087987E-2</v>
      </c>
      <c r="U230" s="538">
        <f t="shared" si="116"/>
        <v>-4.881639093596362E-2</v>
      </c>
      <c r="V230" s="538">
        <f t="shared" si="117"/>
        <v>-3.8629859429843552E-2</v>
      </c>
      <c r="W230" s="538">
        <f t="shared" si="118"/>
        <v>-2.770885019859657E-2</v>
      </c>
      <c r="X230" s="538">
        <f t="shared" si="119"/>
        <v>-1.6001628058081571E-2</v>
      </c>
      <c r="Y230" s="539">
        <f t="shared" si="120"/>
        <v>-3.5737142231629217E-3</v>
      </c>
      <c r="Z230" s="539">
        <f t="shared" si="121"/>
        <v>-4.2271514213038229E-2</v>
      </c>
      <c r="AB230" s="571">
        <f t="shared" si="143"/>
        <v>-4.8016000285580631</v>
      </c>
      <c r="AC230" s="562">
        <f t="shared" si="122"/>
        <v>0.15137119947276423</v>
      </c>
      <c r="AD230" s="562">
        <f t="shared" si="144"/>
        <v>0.132615544825059</v>
      </c>
      <c r="AE230" s="562">
        <f t="shared" si="123"/>
        <v>5.9883786098237746E-2</v>
      </c>
      <c r="AF230" s="562">
        <f t="shared" si="124"/>
        <v>2.554087615706413E-2</v>
      </c>
      <c r="AG230" s="562">
        <f t="shared" si="125"/>
        <v>-6.1016180551590637E-2</v>
      </c>
      <c r="AH230" s="562">
        <f t="shared" si="126"/>
        <v>-8.7910379279418471E-2</v>
      </c>
      <c r="AI230" s="562">
        <f t="shared" si="127"/>
        <v>-0.17324766330024111</v>
      </c>
      <c r="AJ230" s="562">
        <f t="shared" si="128"/>
        <v>-0.33438098396078453</v>
      </c>
      <c r="AK230" s="572">
        <f t="shared" si="129"/>
        <v>-0.74258390174293765</v>
      </c>
      <c r="AL230" s="539">
        <f t="shared" si="130"/>
        <v>-0.58313277308399092</v>
      </c>
      <c r="AN230" s="566">
        <f t="shared" si="131"/>
        <v>-4.6679048951305546</v>
      </c>
      <c r="AO230" s="538">
        <f t="shared" si="132"/>
        <v>0.11087963671451995</v>
      </c>
      <c r="AP230" s="538">
        <f t="shared" si="133"/>
        <v>9.3099980528938087E-2</v>
      </c>
      <c r="AQ230" s="538">
        <f t="shared" si="134"/>
        <v>2.404230540892538E-2</v>
      </c>
      <c r="AR230" s="538">
        <f t="shared" si="135"/>
        <v>-9.139250089792994E-3</v>
      </c>
      <c r="AS230" s="538">
        <f t="shared" si="136"/>
        <v>-8.836522383649581E-2</v>
      </c>
      <c r="AT230" s="538">
        <f t="shared" si="137"/>
        <v>-0.114476096387785</v>
      </c>
      <c r="AU230" s="538">
        <f t="shared" si="138"/>
        <v>-0.19732782844683605</v>
      </c>
      <c r="AV230" s="538">
        <f t="shared" si="139"/>
        <v>-0.35376794559299474</v>
      </c>
      <c r="AW230" s="539">
        <f t="shared" si="140"/>
        <v>-0.75008145800285209</v>
      </c>
      <c r="AX230" s="569">
        <f t="shared" si="141"/>
        <v>-0.59530407748349268</v>
      </c>
    </row>
    <row r="231" spans="1:50">
      <c r="A231" s="361" t="s">
        <v>316</v>
      </c>
      <c r="B231" s="383"/>
      <c r="C231" s="448">
        <f>'ANTONIO ARAUJO &amp; CIA'!L84</f>
        <v>28968</v>
      </c>
      <c r="D231" s="448">
        <f t="shared" ref="D231:M231" si="157">IF(D230&lt;=0,0,D230*D8)</f>
        <v>0</v>
      </c>
      <c r="E231" s="448">
        <f t="shared" si="157"/>
        <v>0</v>
      </c>
      <c r="F231" s="448">
        <f t="shared" si="157"/>
        <v>0</v>
      </c>
      <c r="G231" s="448">
        <f t="shared" si="157"/>
        <v>0</v>
      </c>
      <c r="H231" s="448">
        <f t="shared" si="157"/>
        <v>0</v>
      </c>
      <c r="I231" s="448">
        <f t="shared" si="157"/>
        <v>0</v>
      </c>
      <c r="J231" s="448">
        <f t="shared" si="157"/>
        <v>0</v>
      </c>
      <c r="K231" s="448">
        <f t="shared" si="157"/>
        <v>0</v>
      </c>
      <c r="L231" s="448">
        <f t="shared" si="157"/>
        <v>0</v>
      </c>
      <c r="M231" s="448">
        <f t="shared" si="157"/>
        <v>0</v>
      </c>
      <c r="N231" s="407"/>
      <c r="O231" s="566">
        <f t="shared" si="110"/>
        <v>6.1982144828701792E-3</v>
      </c>
      <c r="P231" s="538">
        <f t="shared" si="111"/>
        <v>0</v>
      </c>
      <c r="Q231" s="538">
        <f t="shared" si="112"/>
        <v>0</v>
      </c>
      <c r="R231" s="538">
        <f t="shared" si="113"/>
        <v>0</v>
      </c>
      <c r="S231" s="538">
        <f t="shared" si="114"/>
        <v>0</v>
      </c>
      <c r="T231" s="538">
        <f t="shared" si="115"/>
        <v>0</v>
      </c>
      <c r="U231" s="538">
        <f t="shared" si="116"/>
        <v>0</v>
      </c>
      <c r="V231" s="538">
        <f t="shared" si="117"/>
        <v>0</v>
      </c>
      <c r="W231" s="538">
        <f t="shared" si="118"/>
        <v>0</v>
      </c>
      <c r="X231" s="538">
        <f t="shared" si="119"/>
        <v>0</v>
      </c>
      <c r="Y231" s="539">
        <f t="shared" si="120"/>
        <v>0</v>
      </c>
      <c r="Z231" s="539">
        <f t="shared" si="121"/>
        <v>5.6347404389728902E-4</v>
      </c>
      <c r="AB231" s="571">
        <f t="shared" si="143"/>
        <v>-1</v>
      </c>
      <c r="AC231" s="562" t="str">
        <f t="shared" si="122"/>
        <v/>
      </c>
      <c r="AD231" s="562" t="str">
        <f t="shared" si="144"/>
        <v/>
      </c>
      <c r="AE231" s="562" t="str">
        <f t="shared" si="123"/>
        <v/>
      </c>
      <c r="AF231" s="562" t="str">
        <f t="shared" si="124"/>
        <v/>
      </c>
      <c r="AG231" s="562" t="str">
        <f t="shared" si="125"/>
        <v/>
      </c>
      <c r="AH231" s="562" t="str">
        <f t="shared" si="126"/>
        <v/>
      </c>
      <c r="AI231" s="562" t="str">
        <f t="shared" si="127"/>
        <v/>
      </c>
      <c r="AJ231" s="562" t="str">
        <f t="shared" si="128"/>
        <v/>
      </c>
      <c r="AK231" s="572" t="str">
        <f t="shared" si="129"/>
        <v/>
      </c>
      <c r="AL231" s="539">
        <f t="shared" si="130"/>
        <v>-1</v>
      </c>
      <c r="AN231" s="566">
        <f t="shared" si="131"/>
        <v>-1</v>
      </c>
      <c r="AO231" s="538">
        <f t="shared" si="132"/>
        <v>0</v>
      </c>
      <c r="AP231" s="538">
        <f t="shared" si="133"/>
        <v>0</v>
      </c>
      <c r="AQ231" s="538">
        <f t="shared" si="134"/>
        <v>0</v>
      </c>
      <c r="AR231" s="538">
        <f t="shared" si="135"/>
        <v>0</v>
      </c>
      <c r="AS231" s="538">
        <f t="shared" si="136"/>
        <v>0</v>
      </c>
      <c r="AT231" s="538">
        <f t="shared" si="137"/>
        <v>0</v>
      </c>
      <c r="AU231" s="538">
        <f t="shared" si="138"/>
        <v>0</v>
      </c>
      <c r="AV231" s="538">
        <f t="shared" si="139"/>
        <v>0</v>
      </c>
      <c r="AW231" s="539">
        <f t="shared" si="140"/>
        <v>0</v>
      </c>
      <c r="AX231" s="569">
        <f t="shared" si="141"/>
        <v>-0.1</v>
      </c>
    </row>
    <row r="232" spans="1:50">
      <c r="A232" s="362" t="s">
        <v>315</v>
      </c>
      <c r="B232" s="383"/>
      <c r="C232" s="421">
        <f>C230-C231</f>
        <v>79722</v>
      </c>
      <c r="D232" s="421">
        <f>D230-D231</f>
        <v>-413195.90710397594</v>
      </c>
      <c r="E232" s="421">
        <f>E230-E231</f>
        <v>-475741.86717954167</v>
      </c>
      <c r="F232" s="421">
        <f t="shared" ref="F232:M232" si="158">F230-F231</f>
        <v>-538832.63409164746</v>
      </c>
      <c r="G232" s="421">
        <f t="shared" si="158"/>
        <v>-571099.97229434166</v>
      </c>
      <c r="H232" s="421">
        <f t="shared" si="158"/>
        <v>-585686.36596001417</v>
      </c>
      <c r="I232" s="421">
        <f t="shared" si="158"/>
        <v>-549950.02090799296</v>
      </c>
      <c r="J232" s="421">
        <f t="shared" si="158"/>
        <v>-501603.70598524716</v>
      </c>
      <c r="K232" s="421">
        <f t="shared" si="158"/>
        <v>-414702.03602056194</v>
      </c>
      <c r="L232" s="421">
        <f t="shared" si="158"/>
        <v>-276033.56116546574</v>
      </c>
      <c r="M232" s="421">
        <f t="shared" si="158"/>
        <v>-71055.482303216355</v>
      </c>
      <c r="N232" s="393"/>
      <c r="O232" s="567">
        <f t="shared" si="110"/>
        <v>1.7057927886059667E-2</v>
      </c>
      <c r="P232" s="543">
        <f t="shared" si="111"/>
        <v>-7.6260827743815707E-2</v>
      </c>
      <c r="Q232" s="543">
        <f t="shared" si="112"/>
        <v>-7.5705196550942724E-2</v>
      </c>
      <c r="R232" s="543">
        <f t="shared" si="113"/>
        <v>-7.3950778195412445E-2</v>
      </c>
      <c r="S232" s="543">
        <f t="shared" si="114"/>
        <v>-6.7673372140443208E-2</v>
      </c>
      <c r="T232" s="543">
        <f t="shared" si="115"/>
        <v>-5.9922181236087987E-2</v>
      </c>
      <c r="U232" s="543">
        <f t="shared" si="116"/>
        <v>-4.881639093596362E-2</v>
      </c>
      <c r="V232" s="543">
        <f t="shared" si="117"/>
        <v>-3.8629859429843552E-2</v>
      </c>
      <c r="W232" s="543">
        <f t="shared" si="118"/>
        <v>-2.770885019859657E-2</v>
      </c>
      <c r="X232" s="543">
        <f t="shared" si="119"/>
        <v>-1.6001628058081571E-2</v>
      </c>
      <c r="Y232" s="544">
        <f t="shared" si="120"/>
        <v>-3.5737142231629217E-3</v>
      </c>
      <c r="Z232" s="544">
        <f t="shared" si="121"/>
        <v>-4.2834988256935519E-2</v>
      </c>
      <c r="AB232" s="573">
        <f t="shared" si="143"/>
        <v>-6.1829596234913318</v>
      </c>
      <c r="AC232" s="574">
        <f t="shared" si="122"/>
        <v>0.15137119947276423</v>
      </c>
      <c r="AD232" s="574">
        <f t="shared" si="144"/>
        <v>0.132615544825059</v>
      </c>
      <c r="AE232" s="574">
        <f t="shared" si="123"/>
        <v>5.9883786098237746E-2</v>
      </c>
      <c r="AF232" s="574">
        <f t="shared" si="124"/>
        <v>2.554087615706413E-2</v>
      </c>
      <c r="AG232" s="574">
        <f t="shared" si="125"/>
        <v>-6.1016180551590637E-2</v>
      </c>
      <c r="AH232" s="574">
        <f t="shared" si="126"/>
        <v>-8.7910379279418471E-2</v>
      </c>
      <c r="AI232" s="574">
        <f t="shared" si="127"/>
        <v>-0.17324766330024111</v>
      </c>
      <c r="AJ232" s="574">
        <f t="shared" si="128"/>
        <v>-0.33438098396078453</v>
      </c>
      <c r="AK232" s="575">
        <f t="shared" si="129"/>
        <v>-0.74258390174293765</v>
      </c>
      <c r="AL232" s="544">
        <f t="shared" si="130"/>
        <v>-0.72126873257731783</v>
      </c>
      <c r="AN232" s="567">
        <f t="shared" si="131"/>
        <v>-6.0006846673658458</v>
      </c>
      <c r="AO232" s="543">
        <f t="shared" si="132"/>
        <v>0.11087963671451995</v>
      </c>
      <c r="AP232" s="543">
        <f t="shared" si="133"/>
        <v>9.3099980528938087E-2</v>
      </c>
      <c r="AQ232" s="543">
        <f t="shared" si="134"/>
        <v>2.404230540892538E-2</v>
      </c>
      <c r="AR232" s="543">
        <f t="shared" si="135"/>
        <v>-9.139250089792994E-3</v>
      </c>
      <c r="AS232" s="543">
        <f t="shared" si="136"/>
        <v>-8.836522383649581E-2</v>
      </c>
      <c r="AT232" s="543">
        <f t="shared" si="137"/>
        <v>-0.114476096387785</v>
      </c>
      <c r="AU232" s="543">
        <f t="shared" si="138"/>
        <v>-0.19732782844683605</v>
      </c>
      <c r="AV232" s="543">
        <f t="shared" si="139"/>
        <v>-0.35376794559299474</v>
      </c>
      <c r="AW232" s="544">
        <f t="shared" si="140"/>
        <v>-0.75008145800285209</v>
      </c>
      <c r="AX232" s="570">
        <f t="shared" si="141"/>
        <v>-0.72858205470702175</v>
      </c>
    </row>
    <row r="233" spans="1:50" ht="22.5">
      <c r="A233" s="361" t="s">
        <v>314</v>
      </c>
      <c r="B233" s="383"/>
      <c r="C233" s="417">
        <v>0</v>
      </c>
      <c r="D233" s="421">
        <f>IF(D232&lt;0,0,IF(C234&lt;0,D40*MAX(D232+C234,0),D232*D40))</f>
        <v>0</v>
      </c>
      <c r="E233" s="421">
        <f t="shared" ref="E233:M233" si="159">IF(E232&lt;0,0,IF(D234&lt;0,E40*MAX(E232+D234,0),E232*E40))</f>
        <v>0</v>
      </c>
      <c r="F233" s="421">
        <f t="shared" si="159"/>
        <v>0</v>
      </c>
      <c r="G233" s="421">
        <f t="shared" si="159"/>
        <v>0</v>
      </c>
      <c r="H233" s="421">
        <f t="shared" si="159"/>
        <v>0</v>
      </c>
      <c r="I233" s="421">
        <f t="shared" si="159"/>
        <v>0</v>
      </c>
      <c r="J233" s="421">
        <f t="shared" si="159"/>
        <v>0</v>
      </c>
      <c r="K233" s="421">
        <f t="shared" si="159"/>
        <v>0</v>
      </c>
      <c r="L233" s="421">
        <f t="shared" si="159"/>
        <v>0</v>
      </c>
      <c r="M233" s="421">
        <f t="shared" si="159"/>
        <v>0</v>
      </c>
      <c r="N233" s="393"/>
      <c r="O233" s="393"/>
      <c r="P233" s="406"/>
      <c r="Q233" s="406"/>
    </row>
    <row r="234" spans="1:50" ht="23.25" customHeight="1">
      <c r="A234" s="361" t="s">
        <v>313</v>
      </c>
      <c r="B234" s="383"/>
      <c r="C234" s="421">
        <f>C274</f>
        <v>-25011</v>
      </c>
      <c r="D234" s="421">
        <f>C234+C232-C233</f>
        <v>54711</v>
      </c>
      <c r="E234" s="421">
        <f>D234+D232-D233</f>
        <v>-358484.90710397594</v>
      </c>
      <c r="F234" s="421">
        <f t="shared" ref="F234:I234" si="160">E234+E232-E233</f>
        <v>-834226.77428351762</v>
      </c>
      <c r="G234" s="421">
        <f t="shared" si="160"/>
        <v>-1373059.408375165</v>
      </c>
      <c r="H234" s="421">
        <f t="shared" si="160"/>
        <v>-1944159.3806695067</v>
      </c>
      <c r="I234" s="421">
        <f t="shared" si="160"/>
        <v>-2529845.7466295208</v>
      </c>
      <c r="J234" s="421">
        <f t="shared" ref="J234" si="161">I234+I232-I233</f>
        <v>-3079795.7675375137</v>
      </c>
      <c r="K234" s="421">
        <f t="shared" ref="K234" si="162">J234+J232-J233</f>
        <v>-3581399.4735227609</v>
      </c>
      <c r="L234" s="421">
        <f t="shared" ref="L234" si="163">K234+K232-K233</f>
        <v>-3996101.509543323</v>
      </c>
      <c r="M234" s="421">
        <f t="shared" ref="M234" si="164">L234+L232-L233</f>
        <v>-4272135.0707087889</v>
      </c>
      <c r="N234" s="393"/>
      <c r="O234" s="393"/>
      <c r="P234" s="406"/>
      <c r="Q234" s="406"/>
      <c r="AB234" s="390"/>
      <c r="AC234" s="390"/>
      <c r="AD234" s="390"/>
      <c r="AE234" s="390"/>
      <c r="AF234" s="390"/>
      <c r="AG234" s="390"/>
      <c r="AH234" s="390"/>
      <c r="AI234" s="390"/>
      <c r="AJ234" s="390"/>
      <c r="AK234" s="390"/>
      <c r="AN234" s="390"/>
      <c r="AO234" s="390"/>
      <c r="AP234" s="390"/>
      <c r="AQ234" s="390"/>
      <c r="AR234" s="390"/>
      <c r="AS234" s="390"/>
      <c r="AT234" s="390"/>
      <c r="AU234" s="390"/>
      <c r="AV234" s="390"/>
      <c r="AW234" s="390"/>
    </row>
    <row r="235" spans="1:50">
      <c r="A235" s="355" t="s">
        <v>301</v>
      </c>
      <c r="C235" s="421">
        <v>0</v>
      </c>
      <c r="D235" s="421">
        <f>C235</f>
        <v>0</v>
      </c>
      <c r="E235" s="421">
        <f t="shared" ref="E235:M235" si="165">D235</f>
        <v>0</v>
      </c>
      <c r="F235" s="421">
        <f t="shared" si="165"/>
        <v>0</v>
      </c>
      <c r="G235" s="421">
        <f t="shared" si="165"/>
        <v>0</v>
      </c>
      <c r="H235" s="421">
        <f t="shared" si="165"/>
        <v>0</v>
      </c>
      <c r="I235" s="421">
        <f t="shared" si="165"/>
        <v>0</v>
      </c>
      <c r="J235" s="421">
        <f t="shared" si="165"/>
        <v>0</v>
      </c>
      <c r="K235" s="421">
        <f t="shared" si="165"/>
        <v>0</v>
      </c>
      <c r="L235" s="421">
        <f t="shared" si="165"/>
        <v>0</v>
      </c>
      <c r="M235" s="421">
        <f t="shared" si="165"/>
        <v>0</v>
      </c>
      <c r="N235" s="393"/>
      <c r="O235" s="393"/>
      <c r="P235" s="406"/>
      <c r="Q235" s="406"/>
    </row>
    <row r="236" spans="1:50" ht="12" thickBot="1">
      <c r="A236" s="386"/>
      <c r="C236" s="380"/>
      <c r="D236" s="380"/>
      <c r="E236" s="380"/>
      <c r="F236" s="382"/>
      <c r="G236" s="382"/>
      <c r="H236" s="382"/>
      <c r="I236" s="382" t="s">
        <v>306</v>
      </c>
      <c r="J236" s="382"/>
      <c r="K236" s="358"/>
      <c r="L236" s="358"/>
      <c r="M236" s="449"/>
      <c r="N236" s="408"/>
      <c r="O236" s="719" t="s">
        <v>1267</v>
      </c>
      <c r="P236" s="720"/>
      <c r="Q236" s="720"/>
      <c r="R236" s="720"/>
      <c r="S236" s="720"/>
      <c r="T236" s="720"/>
      <c r="U236" s="720"/>
      <c r="V236" s="720"/>
      <c r="W236" s="720"/>
      <c r="X236" s="720"/>
      <c r="Y236" s="721"/>
      <c r="AB236" s="716" t="s">
        <v>1269</v>
      </c>
      <c r="AC236" s="717"/>
      <c r="AD236" s="717"/>
      <c r="AE236" s="717"/>
      <c r="AF236" s="717"/>
      <c r="AG236" s="717"/>
      <c r="AH236" s="717"/>
      <c r="AI236" s="717"/>
      <c r="AJ236" s="717"/>
      <c r="AK236" s="718"/>
      <c r="AN236" s="716" t="s">
        <v>1270</v>
      </c>
      <c r="AO236" s="717"/>
      <c r="AP236" s="717"/>
      <c r="AQ236" s="717"/>
      <c r="AR236" s="717"/>
      <c r="AS236" s="717"/>
      <c r="AT236" s="717"/>
      <c r="AU236" s="717"/>
      <c r="AV236" s="717"/>
      <c r="AW236" s="718"/>
    </row>
    <row r="237" spans="1:50" ht="12" thickBot="1">
      <c r="A237" s="462" t="s">
        <v>312</v>
      </c>
      <c r="B237" s="456" t="s">
        <v>311</v>
      </c>
      <c r="C237" s="382">
        <v>0</v>
      </c>
      <c r="D237" s="348">
        <v>1</v>
      </c>
      <c r="E237" s="348">
        <v>2</v>
      </c>
      <c r="F237" s="348">
        <v>3</v>
      </c>
      <c r="G237" s="348">
        <v>4</v>
      </c>
      <c r="H237" s="348">
        <v>5</v>
      </c>
      <c r="I237" s="348">
        <v>6</v>
      </c>
      <c r="J237" s="348">
        <v>7</v>
      </c>
      <c r="K237" s="447">
        <v>8</v>
      </c>
      <c r="L237" s="447">
        <v>9</v>
      </c>
      <c r="M237" s="447">
        <v>10</v>
      </c>
      <c r="N237" s="408"/>
      <c r="O237" s="578">
        <v>2009</v>
      </c>
      <c r="P237" s="579">
        <v>2010</v>
      </c>
      <c r="Q237" s="579">
        <v>2011</v>
      </c>
      <c r="R237" s="579">
        <v>2012</v>
      </c>
      <c r="S237" s="579">
        <v>2013</v>
      </c>
      <c r="T237" s="579">
        <v>2014</v>
      </c>
      <c r="U237" s="579">
        <v>2015</v>
      </c>
      <c r="V237" s="579">
        <v>2016</v>
      </c>
      <c r="W237" s="579">
        <v>2017</v>
      </c>
      <c r="X237" s="579">
        <v>2018</v>
      </c>
      <c r="Y237" s="580">
        <v>2019</v>
      </c>
      <c r="Z237" s="576" t="s">
        <v>1272</v>
      </c>
      <c r="AB237" s="578">
        <v>2010</v>
      </c>
      <c r="AC237" s="579">
        <v>2011</v>
      </c>
      <c r="AD237" s="579">
        <v>2012</v>
      </c>
      <c r="AE237" s="579">
        <v>2013</v>
      </c>
      <c r="AF237" s="579">
        <v>2014</v>
      </c>
      <c r="AG237" s="579">
        <v>2015</v>
      </c>
      <c r="AH237" s="579">
        <v>2016</v>
      </c>
      <c r="AI237" s="579">
        <v>2017</v>
      </c>
      <c r="AJ237" s="579">
        <v>2018</v>
      </c>
      <c r="AK237" s="580">
        <v>2019</v>
      </c>
      <c r="AL237" s="576" t="s">
        <v>1272</v>
      </c>
      <c r="AM237" s="577"/>
      <c r="AN237" s="578">
        <v>2010</v>
      </c>
      <c r="AO237" s="579">
        <v>2011</v>
      </c>
      <c r="AP237" s="579">
        <v>2012</v>
      </c>
      <c r="AQ237" s="579">
        <v>2013</v>
      </c>
      <c r="AR237" s="579">
        <v>2014</v>
      </c>
      <c r="AS237" s="579">
        <v>2015</v>
      </c>
      <c r="AT237" s="579">
        <v>2016</v>
      </c>
      <c r="AU237" s="579">
        <v>2017</v>
      </c>
      <c r="AV237" s="579">
        <v>2018</v>
      </c>
      <c r="AW237" s="579">
        <v>2019</v>
      </c>
      <c r="AX237" s="576" t="s">
        <v>1272</v>
      </c>
    </row>
    <row r="238" spans="1:50" s="410" customFormat="1">
      <c r="A238" s="372" t="s">
        <v>1234</v>
      </c>
      <c r="C238" s="421">
        <f>SUM(C239:C249)</f>
        <v>4503112</v>
      </c>
      <c r="D238" s="421">
        <f>SUM(D239:D249)</f>
        <v>5154427.170291</v>
      </c>
      <c r="E238" s="421">
        <f t="shared" ref="E238:M238" si="166">SUM(E239:E249)</f>
        <v>5975160.2381776404</v>
      </c>
      <c r="F238" s="421">
        <f t="shared" si="166"/>
        <v>6925064.6603923086</v>
      </c>
      <c r="G238" s="421">
        <f t="shared" si="166"/>
        <v>8017578.2394402614</v>
      </c>
      <c r="H238" s="421">
        <f t="shared" si="166"/>
        <v>9282926.3554365337</v>
      </c>
      <c r="I238" s="421">
        <f t="shared" si="166"/>
        <v>10696618.733349191</v>
      </c>
      <c r="J238" s="421">
        <f>SUM(J239:J249)</f>
        <v>12326045.96656359</v>
      </c>
      <c r="K238" s="421">
        <f t="shared" si="166"/>
        <v>14204130.017820165</v>
      </c>
      <c r="L238" s="421">
        <f t="shared" si="166"/>
        <v>16368816.867091816</v>
      </c>
      <c r="M238" s="421">
        <f t="shared" si="166"/>
        <v>18863843.195798691</v>
      </c>
      <c r="N238" s="411"/>
      <c r="O238" s="563">
        <f>C238/$C$253</f>
        <v>0.93441650740687709</v>
      </c>
      <c r="P238" s="564">
        <f>D238/$D$253</f>
        <v>0.94222486851505582</v>
      </c>
      <c r="Q238" s="564">
        <f>E238/$E$253</f>
        <v>0.94976203526337188</v>
      </c>
      <c r="R238" s="564">
        <f>F238/$F$253</f>
        <v>0.95635234827207349</v>
      </c>
      <c r="S238" s="564">
        <f>G238/$G$253</f>
        <v>0.96207441854682774</v>
      </c>
      <c r="T238" s="564">
        <f>H238/$H$253</f>
        <v>0.96707380819711453</v>
      </c>
      <c r="U238" s="564">
        <f>I238/$I$253</f>
        <v>0.97130052868591921</v>
      </c>
      <c r="V238" s="564">
        <f>J238/$J$253</f>
        <v>0.97499957278978844</v>
      </c>
      <c r="W238" s="564">
        <f>K238/$K$253</f>
        <v>0.9782332019659723</v>
      </c>
      <c r="X238" s="564">
        <f>L238/$L$253</f>
        <v>0.98105721484172637</v>
      </c>
      <c r="Y238" s="565">
        <f>M238/$M$253</f>
        <v>0.98352139582089027</v>
      </c>
      <c r="Z238" s="568">
        <f>AVERAGE(O238:Y238)</f>
        <v>0.96372871820960171</v>
      </c>
      <c r="AB238" s="566">
        <f>+IF(C238=0,"",D238/C238-1)</f>
        <v>0.14463668020937526</v>
      </c>
      <c r="AC238" s="538">
        <f t="shared" ref="AC238:AK253" si="167">+IF(D238=0,"",E238/D238-1)</f>
        <v>0.15922876408404174</v>
      </c>
      <c r="AD238" s="538">
        <f t="shared" si="167"/>
        <v>0.15897555619435222</v>
      </c>
      <c r="AE238" s="538">
        <f t="shared" si="167"/>
        <v>0.15776222066149792</v>
      </c>
      <c r="AF238" s="538">
        <f t="shared" si="167"/>
        <v>0.15782173596657167</v>
      </c>
      <c r="AG238" s="538">
        <f t="shared" si="167"/>
        <v>0.15228951774293997</v>
      </c>
      <c r="AH238" s="538">
        <f t="shared" si="167"/>
        <v>0.15233105655474866</v>
      </c>
      <c r="AI238" s="538">
        <f t="shared" si="167"/>
        <v>0.15236711402433389</v>
      </c>
      <c r="AJ238" s="538">
        <f t="shared" si="167"/>
        <v>0.15239841134626952</v>
      </c>
      <c r="AK238" s="539">
        <f t="shared" si="167"/>
        <v>0.15242557534643342</v>
      </c>
      <c r="AL238" s="539">
        <f>AVERAGE(AB238:AK238)</f>
        <v>0.15402366321305644</v>
      </c>
      <c r="AN238" s="566">
        <f>IF(AB238="",,(((AB238+1)/($D$22+1))-1))</f>
        <v>0.10438195784589244</v>
      </c>
      <c r="AO238" s="538">
        <f>IF(AC238="",,(((AC238+1)/($E$22+1))-1))</f>
        <v>0.11846086553528057</v>
      </c>
      <c r="AP238" s="538">
        <f>IF(AD238="",,(((AD238+1)/($F$22+1))-1))</f>
        <v>0.11854032349983346</v>
      </c>
      <c r="AQ238" s="538">
        <f>IF(AE238="",,(((AE238+1)/($G$22+1))-1))</f>
        <v>0.11861084121883869</v>
      </c>
      <c r="AR238" s="538">
        <f>IF(AF238="",,(((AF238+1)/($H$22+1))-1))</f>
        <v>0.11866834392905479</v>
      </c>
      <c r="AS238" s="538">
        <f>IF(AG238="",,(((AG238+1)/($I$22+1))-1))</f>
        <v>0.11872768712906789</v>
      </c>
      <c r="AT238" s="538">
        <f>IF(AH238="",,(((AH238+1)/($J$22+1))-1))</f>
        <v>0.11876801607257148</v>
      </c>
      <c r="AU238" s="538">
        <f>IF(AI238="",,(((AI238+1)/($K$22+1))-1))</f>
        <v>0.11880302332459602</v>
      </c>
      <c r="AV238" s="538">
        <f>IF(AJ238="",,(((AJ238+1)/($L$22+1))-1))</f>
        <v>0.11883340907404816</v>
      </c>
      <c r="AW238" s="539">
        <f>IF(AK238="",,(((AK238+1)/($M$22+1))-1))</f>
        <v>0.11885978188974122</v>
      </c>
      <c r="AX238" s="569">
        <f>AVERAGE(AN238:AW238)</f>
        <v>0.11726542495189247</v>
      </c>
    </row>
    <row r="239" spans="1:50">
      <c r="A239" s="354" t="s">
        <v>310</v>
      </c>
      <c r="C239" s="421">
        <f>'ANTONIO ARAUJO &amp; CIA'!L7</f>
        <v>68137</v>
      </c>
      <c r="D239" s="421">
        <f t="shared" ref="D239:I239" si="168">D173</f>
        <v>139786.17504138543</v>
      </c>
      <c r="E239" s="421">
        <f t="shared" si="168"/>
        <v>162127.02246191222</v>
      </c>
      <c r="F239" s="421">
        <f t="shared" si="168"/>
        <v>187983.99178742812</v>
      </c>
      <c r="G239" s="421">
        <f t="shared" si="168"/>
        <v>217722.86807909844</v>
      </c>
      <c r="H239" s="421">
        <f t="shared" si="168"/>
        <v>252166.4043510257</v>
      </c>
      <c r="I239" s="421">
        <f t="shared" si="168"/>
        <v>290647.9605966307</v>
      </c>
      <c r="J239" s="421">
        <f t="shared" ref="J239:M239" si="169">J173</f>
        <v>335001.94927388639</v>
      </c>
      <c r="K239" s="421">
        <f t="shared" si="169"/>
        <v>386124.52599677676</v>
      </c>
      <c r="L239" s="421">
        <f t="shared" si="169"/>
        <v>445048.60314810544</v>
      </c>
      <c r="M239" s="421">
        <f t="shared" si="169"/>
        <v>512964.71948464907</v>
      </c>
      <c r="N239" s="393"/>
      <c r="O239" s="566">
        <f t="shared" ref="O239:O276" si="170">C239/$C$253</f>
        <v>1.4138741733535028E-2</v>
      </c>
      <c r="P239" s="538">
        <f t="shared" ref="P239:P276" si="171">D239/$D$253</f>
        <v>2.5552792977217697E-2</v>
      </c>
      <c r="Q239" s="538">
        <f t="shared" ref="Q239:Q276" si="172">E239/$E$253</f>
        <v>2.5770370113384445E-2</v>
      </c>
      <c r="R239" s="538">
        <f t="shared" ref="R239:R276" si="173">F239/$F$253</f>
        <v>2.5960614203605212E-2</v>
      </c>
      <c r="S239" s="538">
        <f t="shared" ref="S239:S276" si="174">G239/$G$253</f>
        <v>2.6125794529966436E-2</v>
      </c>
      <c r="T239" s="538">
        <f t="shared" ref="T239:T276" si="175">H239/$H$253</f>
        <v>2.6270113067556708E-2</v>
      </c>
      <c r="U239" s="538">
        <f t="shared" ref="U239:U276" si="176">I239/$I$253</f>
        <v>2.6392126785713652E-2</v>
      </c>
      <c r="V239" s="538">
        <f t="shared" ref="V239:V276" si="177">J239/$J$253</f>
        <v>2.6498907947594384E-2</v>
      </c>
      <c r="W239" s="538">
        <f t="shared" ref="W239:W276" si="178">K239/$K$253</f>
        <v>2.6592253869088915E-2</v>
      </c>
      <c r="X239" s="538">
        <f t="shared" ref="X239:X276" si="179">L239/$L$253</f>
        <v>2.6673775302078588E-2</v>
      </c>
      <c r="Y239" s="539">
        <f t="shared" ref="Y239:Y276" si="180">M239/$M$253</f>
        <v>2.6744909384466106E-2</v>
      </c>
      <c r="Z239" s="569">
        <f t="shared" ref="Z239:Z276" si="181">AVERAGE(O239:Y239)</f>
        <v>2.5156399992200651E-2</v>
      </c>
      <c r="AB239" s="566">
        <f t="shared" ref="AB239:AK276" si="182">+IF(C239=0,"",D239/C239-1)</f>
        <v>1.0515457833685873</v>
      </c>
      <c r="AC239" s="538">
        <f t="shared" si="167"/>
        <v>0.15982158045251982</v>
      </c>
      <c r="AD239" s="538">
        <f t="shared" si="167"/>
        <v>0.15948587060241826</v>
      </c>
      <c r="AE239" s="538">
        <f t="shared" si="167"/>
        <v>0.15819898284370382</v>
      </c>
      <c r="AF239" s="538">
        <f t="shared" si="167"/>
        <v>0.15819898284370382</v>
      </c>
      <c r="AG239" s="538">
        <f t="shared" si="167"/>
        <v>0.1526038186753742</v>
      </c>
      <c r="AH239" s="538">
        <f t="shared" si="167"/>
        <v>0.15260381867537465</v>
      </c>
      <c r="AI239" s="538">
        <f t="shared" si="167"/>
        <v>0.1526038186753782</v>
      </c>
      <c r="AJ239" s="538">
        <f t="shared" si="167"/>
        <v>0.15260381867537864</v>
      </c>
      <c r="AK239" s="539">
        <f t="shared" si="167"/>
        <v>0.15260381867537776</v>
      </c>
      <c r="AL239" s="539">
        <f t="shared" ref="AL239:AL276" si="183">AVERAGE(AB239:AK239)</f>
        <v>0.24502702934878165</v>
      </c>
      <c r="AN239" s="566">
        <f t="shared" ref="AN239:AN276" si="184">IF(AB239="",,(((AB239+1)/($D$22+1))-1))</f>
        <v>0.97939677106332867</v>
      </c>
      <c r="AO239" s="538">
        <f t="shared" ref="AO239:AO276" si="185">IF(AC239="",,(((AC239+1)/($E$22+1))-1))</f>
        <v>0.11903283366541539</v>
      </c>
      <c r="AP239" s="538">
        <f t="shared" ref="AP239:AP276" si="186">IF(AD239="",,(((AD239+1)/($F$22+1))-1))</f>
        <v>0.11903283366541362</v>
      </c>
      <c r="AQ239" s="538">
        <f t="shared" ref="AQ239:AQ276" si="187">IF(AE239="",,(((AE239+1)/($G$22+1))-1))</f>
        <v>0.11903283366541451</v>
      </c>
      <c r="AR239" s="538">
        <f t="shared" ref="AR239:AR276" si="188">IF(AF239="",,(((AF239+1)/($H$22+1))-1))</f>
        <v>0.11903283366541451</v>
      </c>
      <c r="AS239" s="538">
        <f t="shared" ref="AS239:AS276" si="189">IF(AG239="",,(((AG239+1)/($I$22+1))-1))</f>
        <v>0.11903283366541184</v>
      </c>
      <c r="AT239" s="538">
        <f t="shared" ref="AT239:AT276" si="190">IF(AH239="",,(((AH239+1)/($J$22+1))-1))</f>
        <v>0.11903283366541229</v>
      </c>
      <c r="AU239" s="538">
        <f t="shared" ref="AU239:AU276" si="191">IF(AI239="",,(((AI239+1)/($K$22+1))-1))</f>
        <v>0.11903283366541562</v>
      </c>
      <c r="AV239" s="538">
        <f t="shared" ref="AV239:AV276" si="192">IF(AJ239="",,(((AJ239+1)/($L$22+1))-1))</f>
        <v>0.11903283366541606</v>
      </c>
      <c r="AW239" s="539">
        <f t="shared" ref="AW239:AW276" si="193">IF(AK239="",,(((AK239+1)/($M$22+1))-1))</f>
        <v>0.11903283366541517</v>
      </c>
      <c r="AX239" s="569">
        <f t="shared" ref="AX239:AX276" si="194">AVERAGE(AN239:AW239)</f>
        <v>0.20506922740520578</v>
      </c>
    </row>
    <row r="240" spans="1:50">
      <c r="A240" s="363" t="s">
        <v>1201</v>
      </c>
      <c r="C240" s="421">
        <f>'ANTONIO ARAUJO &amp; CIA'!L8</f>
        <v>42000</v>
      </c>
      <c r="D240" s="421">
        <f>D170</f>
        <v>0</v>
      </c>
      <c r="E240" s="421">
        <f>E170</f>
        <v>1.1641532182693481E-10</v>
      </c>
      <c r="F240" s="421">
        <f t="shared" ref="F240:M240" si="195">F170</f>
        <v>0</v>
      </c>
      <c r="G240" s="421">
        <f t="shared" si="195"/>
        <v>2.9103830456733704E-10</v>
      </c>
      <c r="H240" s="421">
        <f t="shared" si="195"/>
        <v>1.1641532182693481E-10</v>
      </c>
      <c r="I240" s="421">
        <f t="shared" si="195"/>
        <v>0</v>
      </c>
      <c r="J240" s="421">
        <f t="shared" si="195"/>
        <v>0</v>
      </c>
      <c r="K240" s="421">
        <f t="shared" si="195"/>
        <v>0</v>
      </c>
      <c r="L240" s="421">
        <f t="shared" si="195"/>
        <v>0</v>
      </c>
      <c r="M240" s="421">
        <f t="shared" si="195"/>
        <v>7.5669959187507629E-10</v>
      </c>
      <c r="N240" s="393"/>
      <c r="O240" s="566">
        <f t="shared" si="170"/>
        <v>8.715193695179875E-3</v>
      </c>
      <c r="P240" s="538">
        <f t="shared" si="171"/>
        <v>0</v>
      </c>
      <c r="Q240" s="538">
        <f t="shared" si="172"/>
        <v>1.8504416381628577E-17</v>
      </c>
      <c r="R240" s="538">
        <f t="shared" si="173"/>
        <v>0</v>
      </c>
      <c r="S240" s="538">
        <f t="shared" si="174"/>
        <v>3.4923327129393037E-17</v>
      </c>
      <c r="T240" s="538">
        <f t="shared" si="175"/>
        <v>1.2127879108481013E-17</v>
      </c>
      <c r="U240" s="538">
        <f t="shared" si="176"/>
        <v>0</v>
      </c>
      <c r="V240" s="538">
        <f t="shared" si="177"/>
        <v>0</v>
      </c>
      <c r="W240" s="538">
        <f t="shared" si="178"/>
        <v>0</v>
      </c>
      <c r="X240" s="538">
        <f t="shared" si="179"/>
        <v>0</v>
      </c>
      <c r="Y240" s="539">
        <f t="shared" si="180"/>
        <v>3.9452736703400196E-17</v>
      </c>
      <c r="Z240" s="569">
        <f t="shared" si="181"/>
        <v>7.9229033592545278E-4</v>
      </c>
      <c r="AB240" s="566">
        <f t="shared" si="182"/>
        <v>-1</v>
      </c>
      <c r="AC240" s="538" t="str">
        <f t="shared" si="167"/>
        <v/>
      </c>
      <c r="AD240" s="538">
        <f t="shared" si="167"/>
        <v>-1</v>
      </c>
      <c r="AE240" s="538" t="str">
        <f t="shared" si="167"/>
        <v/>
      </c>
      <c r="AF240" s="538">
        <f t="shared" si="167"/>
        <v>-0.6</v>
      </c>
      <c r="AG240" s="538">
        <f t="shared" si="167"/>
        <v>-1</v>
      </c>
      <c r="AH240" s="538" t="str">
        <f t="shared" si="167"/>
        <v/>
      </c>
      <c r="AI240" s="538" t="str">
        <f t="shared" si="167"/>
        <v/>
      </c>
      <c r="AJ240" s="538" t="str">
        <f t="shared" si="167"/>
        <v/>
      </c>
      <c r="AK240" s="539" t="str">
        <f t="shared" si="167"/>
        <v/>
      </c>
      <c r="AL240" s="539">
        <f t="shared" si="183"/>
        <v>-0.9</v>
      </c>
      <c r="AN240" s="566">
        <f t="shared" si="184"/>
        <v>-1</v>
      </c>
      <c r="AO240" s="538">
        <f t="shared" si="185"/>
        <v>0</v>
      </c>
      <c r="AP240" s="538">
        <f t="shared" si="186"/>
        <v>-1</v>
      </c>
      <c r="AQ240" s="538">
        <f t="shared" si="187"/>
        <v>0</v>
      </c>
      <c r="AR240" s="538">
        <f t="shared" si="188"/>
        <v>-0.61352657004830913</v>
      </c>
      <c r="AS240" s="538">
        <f t="shared" si="189"/>
        <v>-1</v>
      </c>
      <c r="AT240" s="538">
        <f t="shared" si="190"/>
        <v>0</v>
      </c>
      <c r="AU240" s="538">
        <f t="shared" si="191"/>
        <v>0</v>
      </c>
      <c r="AV240" s="538">
        <f t="shared" si="192"/>
        <v>0</v>
      </c>
      <c r="AW240" s="539">
        <f t="shared" si="193"/>
        <v>0</v>
      </c>
      <c r="AX240" s="569">
        <f t="shared" si="194"/>
        <v>-0.36135265700483093</v>
      </c>
    </row>
    <row r="241" spans="1:50">
      <c r="A241" s="363" t="s">
        <v>309</v>
      </c>
      <c r="C241" s="421">
        <f>'ANTONIO ARAUJO &amp; CIA'!L9</f>
        <v>1440067</v>
      </c>
      <c r="D241" s="421">
        <f>D112</f>
        <v>3687371.0673712259</v>
      </c>
      <c r="E241" s="421">
        <f>E112</f>
        <v>4276692.5390733862</v>
      </c>
      <c r="F241" s="421">
        <f>F112</f>
        <v>4958764.5719663743</v>
      </c>
      <c r="G241" s="421">
        <f>G112</f>
        <v>5743236.0834128475</v>
      </c>
      <c r="H241" s="421">
        <f>H112</f>
        <v>6651810.1900400165</v>
      </c>
      <c r="I241" s="421">
        <f t="shared" ref="I241:M241" si="196">I112</f>
        <v>7666901.8261439065</v>
      </c>
      <c r="J241" s="421">
        <f t="shared" si="196"/>
        <v>8836900.3222226836</v>
      </c>
      <c r="K241" s="421">
        <f t="shared" si="196"/>
        <v>10185445.056647532</v>
      </c>
      <c r="L241" s="421">
        <f t="shared" si="196"/>
        <v>11739782.867200185</v>
      </c>
      <c r="M241" s="421">
        <f t="shared" si="196"/>
        <v>13531318.563154696</v>
      </c>
      <c r="N241" s="393"/>
      <c r="O241" s="566">
        <f t="shared" si="170"/>
        <v>0.29882054378658568</v>
      </c>
      <c r="P241" s="538">
        <f t="shared" si="171"/>
        <v>0.67404827041603654</v>
      </c>
      <c r="Q241" s="538">
        <f t="shared" si="172"/>
        <v>0.6797876622878376</v>
      </c>
      <c r="R241" s="538">
        <f t="shared" si="173"/>
        <v>0.68480604521312149</v>
      </c>
      <c r="S241" s="538">
        <f t="shared" si="174"/>
        <v>0.68916327979760716</v>
      </c>
      <c r="T241" s="538">
        <f t="shared" si="175"/>
        <v>0.69297020848592805</v>
      </c>
      <c r="U241" s="538">
        <f t="shared" si="176"/>
        <v>0.69618876607233682</v>
      </c>
      <c r="V241" s="538">
        <f t="shared" si="177"/>
        <v>0.69900550933570227</v>
      </c>
      <c r="W241" s="538">
        <f t="shared" si="178"/>
        <v>0.70146784904901083</v>
      </c>
      <c r="X241" s="538">
        <f t="shared" si="179"/>
        <v>0.70361827467792304</v>
      </c>
      <c r="Y241" s="539">
        <f t="shared" si="180"/>
        <v>0.70549469598512304</v>
      </c>
      <c r="Z241" s="569">
        <f t="shared" si="181"/>
        <v>0.65685191864611003</v>
      </c>
      <c r="AB241" s="566">
        <f t="shared" si="182"/>
        <v>1.5605552153970792</v>
      </c>
      <c r="AC241" s="538">
        <f t="shared" si="167"/>
        <v>0.15982158045251871</v>
      </c>
      <c r="AD241" s="538">
        <f t="shared" si="167"/>
        <v>0.15948587060241892</v>
      </c>
      <c r="AE241" s="538">
        <f t="shared" si="167"/>
        <v>0.15819898284370359</v>
      </c>
      <c r="AF241" s="538">
        <f t="shared" si="167"/>
        <v>0.15819898284370359</v>
      </c>
      <c r="AG241" s="538">
        <f t="shared" si="167"/>
        <v>0.15260381867537665</v>
      </c>
      <c r="AH241" s="538">
        <f t="shared" si="167"/>
        <v>0.15260381867537642</v>
      </c>
      <c r="AI241" s="538">
        <f t="shared" si="167"/>
        <v>0.15260381867537665</v>
      </c>
      <c r="AJ241" s="538">
        <f t="shared" si="167"/>
        <v>0.15260381867537687</v>
      </c>
      <c r="AK241" s="539">
        <f t="shared" si="167"/>
        <v>0.15260381867537665</v>
      </c>
      <c r="AL241" s="539">
        <f t="shared" si="183"/>
        <v>0.29592797255163072</v>
      </c>
      <c r="AN241" s="566">
        <f t="shared" si="184"/>
        <v>1.4705052973101247</v>
      </c>
      <c r="AO241" s="538">
        <f t="shared" si="185"/>
        <v>0.11903283366541428</v>
      </c>
      <c r="AP241" s="538">
        <f t="shared" si="186"/>
        <v>0.11903283366541428</v>
      </c>
      <c r="AQ241" s="538">
        <f t="shared" si="187"/>
        <v>0.11903283366541428</v>
      </c>
      <c r="AR241" s="538">
        <f t="shared" si="188"/>
        <v>0.11903283366541428</v>
      </c>
      <c r="AS241" s="538">
        <f t="shared" si="189"/>
        <v>0.11903283366541428</v>
      </c>
      <c r="AT241" s="538">
        <f t="shared" si="190"/>
        <v>0.11903283366541406</v>
      </c>
      <c r="AU241" s="538">
        <f t="shared" si="191"/>
        <v>0.11903283366541428</v>
      </c>
      <c r="AV241" s="538">
        <f t="shared" si="192"/>
        <v>0.11903283366541451</v>
      </c>
      <c r="AW241" s="539">
        <f t="shared" si="193"/>
        <v>0.11903283366541428</v>
      </c>
      <c r="AX241" s="569">
        <f t="shared" si="194"/>
        <v>0.25418008002988529</v>
      </c>
    </row>
    <row r="242" spans="1:50">
      <c r="A242" s="373" t="s">
        <v>1218</v>
      </c>
      <c r="C242" s="421">
        <f>'ANTONIO ARAUJO &amp; CIA'!L10</f>
        <v>12342</v>
      </c>
      <c r="D242" s="421">
        <f>C242</f>
        <v>12342</v>
      </c>
      <c r="E242" s="421">
        <f t="shared" ref="E242:M242" si="197">D242</f>
        <v>12342</v>
      </c>
      <c r="F242" s="421">
        <f t="shared" si="197"/>
        <v>12342</v>
      </c>
      <c r="G242" s="421">
        <f t="shared" si="197"/>
        <v>12342</v>
      </c>
      <c r="H242" s="421">
        <f t="shared" si="197"/>
        <v>12342</v>
      </c>
      <c r="I242" s="421">
        <f t="shared" si="197"/>
        <v>12342</v>
      </c>
      <c r="J242" s="421">
        <f t="shared" si="197"/>
        <v>12342</v>
      </c>
      <c r="K242" s="421">
        <f t="shared" si="197"/>
        <v>12342</v>
      </c>
      <c r="L242" s="421">
        <f t="shared" si="197"/>
        <v>12342</v>
      </c>
      <c r="M242" s="421">
        <f t="shared" si="197"/>
        <v>12342</v>
      </c>
      <c r="N242" s="393"/>
      <c r="O242" s="566">
        <f t="shared" si="170"/>
        <v>2.5610219187121434E-3</v>
      </c>
      <c r="P242" s="538">
        <f t="shared" si="171"/>
        <v>2.2561070208227019E-3</v>
      </c>
      <c r="Q242" s="538">
        <f t="shared" si="172"/>
        <v>1.9617822069982862E-3</v>
      </c>
      <c r="R242" s="538">
        <f t="shared" si="173"/>
        <v>1.7044318372769198E-3</v>
      </c>
      <c r="S242" s="538">
        <f t="shared" si="174"/>
        <v>1.4809861680294514E-3</v>
      </c>
      <c r="T242" s="538">
        <f t="shared" si="175"/>
        <v>1.285761028770707E-3</v>
      </c>
      <c r="U242" s="538">
        <f t="shared" si="176"/>
        <v>1.1207084616063666E-3</v>
      </c>
      <c r="V242" s="538">
        <f t="shared" si="177"/>
        <v>9.7626154891960082E-4</v>
      </c>
      <c r="W242" s="538">
        <f t="shared" si="178"/>
        <v>8.4998899358968739E-4</v>
      </c>
      <c r="X242" s="538">
        <f t="shared" si="179"/>
        <v>7.3971187068010765E-4</v>
      </c>
      <c r="Y242" s="539">
        <f t="shared" si="180"/>
        <v>6.4348610944374852E-4</v>
      </c>
      <c r="Z242" s="569">
        <f t="shared" si="181"/>
        <v>1.4163861058954293E-3</v>
      </c>
      <c r="AB242" s="566">
        <f t="shared" si="182"/>
        <v>0</v>
      </c>
      <c r="AC242" s="538">
        <f t="shared" si="167"/>
        <v>0</v>
      </c>
      <c r="AD242" s="538">
        <f t="shared" si="167"/>
        <v>0</v>
      </c>
      <c r="AE242" s="538">
        <f t="shared" si="167"/>
        <v>0</v>
      </c>
      <c r="AF242" s="538">
        <f t="shared" si="167"/>
        <v>0</v>
      </c>
      <c r="AG242" s="538">
        <f t="shared" si="167"/>
        <v>0</v>
      </c>
      <c r="AH242" s="538">
        <f t="shared" si="167"/>
        <v>0</v>
      </c>
      <c r="AI242" s="538">
        <f t="shared" si="167"/>
        <v>0</v>
      </c>
      <c r="AJ242" s="538">
        <f t="shared" si="167"/>
        <v>0</v>
      </c>
      <c r="AK242" s="539">
        <f t="shared" si="167"/>
        <v>0</v>
      </c>
      <c r="AL242" s="539">
        <f t="shared" si="183"/>
        <v>0</v>
      </c>
      <c r="AN242" s="566">
        <f t="shared" si="184"/>
        <v>-3.5168121954749498E-2</v>
      </c>
      <c r="AO242" s="538">
        <f t="shared" si="185"/>
        <v>-3.5168121954749498E-2</v>
      </c>
      <c r="AP242" s="538">
        <f t="shared" si="186"/>
        <v>-3.4888770930849744E-2</v>
      </c>
      <c r="AQ242" s="538">
        <f t="shared" si="187"/>
        <v>-3.3816425120772875E-2</v>
      </c>
      <c r="AR242" s="538">
        <f t="shared" si="188"/>
        <v>-3.3816425120772875E-2</v>
      </c>
      <c r="AS242" s="538">
        <f t="shared" si="189"/>
        <v>-2.9126213592232997E-2</v>
      </c>
      <c r="AT242" s="538">
        <f t="shared" si="190"/>
        <v>-2.9126213592232997E-2</v>
      </c>
      <c r="AU242" s="538">
        <f t="shared" si="191"/>
        <v>-2.9126213592232997E-2</v>
      </c>
      <c r="AV242" s="538">
        <f t="shared" si="192"/>
        <v>-2.9126213592232997E-2</v>
      </c>
      <c r="AW242" s="539">
        <f t="shared" si="193"/>
        <v>-2.9126213592232997E-2</v>
      </c>
      <c r="AX242" s="569">
        <f t="shared" si="194"/>
        <v>-3.1848893304305945E-2</v>
      </c>
    </row>
    <row r="243" spans="1:50">
      <c r="A243" s="373" t="s">
        <v>1219</v>
      </c>
      <c r="C243" s="421">
        <f>'ANTONIO ARAUJO &amp; CIA'!L12</f>
        <v>2148</v>
      </c>
      <c r="D243" s="421">
        <f>C243</f>
        <v>2148</v>
      </c>
      <c r="E243" s="421">
        <f t="shared" ref="E243:M243" si="198">D243</f>
        <v>2148</v>
      </c>
      <c r="F243" s="421">
        <f t="shared" si="198"/>
        <v>2148</v>
      </c>
      <c r="G243" s="421">
        <f t="shared" si="198"/>
        <v>2148</v>
      </c>
      <c r="H243" s="421">
        <f t="shared" si="198"/>
        <v>2148</v>
      </c>
      <c r="I243" s="421">
        <f t="shared" si="198"/>
        <v>2148</v>
      </c>
      <c r="J243" s="421">
        <f t="shared" si="198"/>
        <v>2148</v>
      </c>
      <c r="K243" s="421">
        <f t="shared" si="198"/>
        <v>2148</v>
      </c>
      <c r="L243" s="421">
        <f t="shared" si="198"/>
        <v>2148</v>
      </c>
      <c r="M243" s="421">
        <f t="shared" si="198"/>
        <v>2148</v>
      </c>
      <c r="N243" s="393"/>
      <c r="O243" s="566">
        <f t="shared" si="170"/>
        <v>4.4571990612491362E-4</v>
      </c>
      <c r="P243" s="538">
        <f t="shared" si="171"/>
        <v>3.9265255880142311E-4</v>
      </c>
      <c r="Q243" s="538">
        <f t="shared" si="172"/>
        <v>3.4142830826708136E-4</v>
      </c>
      <c r="R243" s="538">
        <f t="shared" si="173"/>
        <v>2.9663908495145225E-4</v>
      </c>
      <c r="S243" s="538">
        <f t="shared" si="174"/>
        <v>2.5775063109117336E-4</v>
      </c>
      <c r="T243" s="538">
        <f t="shared" si="175"/>
        <v>2.2377367442873755E-4</v>
      </c>
      <c r="U243" s="538">
        <f t="shared" si="176"/>
        <v>1.9504794810650428E-4</v>
      </c>
      <c r="V243" s="538">
        <f t="shared" si="177"/>
        <v>1.6990842708469476E-4</v>
      </c>
      <c r="W243" s="538">
        <f t="shared" si="178"/>
        <v>1.4793196874336807E-4</v>
      </c>
      <c r="X243" s="538">
        <f t="shared" si="179"/>
        <v>1.2873935328316897E-4</v>
      </c>
      <c r="Y243" s="539">
        <f t="shared" si="180"/>
        <v>1.1199223489589789E-4</v>
      </c>
      <c r="Z243" s="569">
        <f t="shared" si="181"/>
        <v>2.4650764507076501E-4</v>
      </c>
      <c r="AB243" s="566">
        <f t="shared" si="182"/>
        <v>0</v>
      </c>
      <c r="AC243" s="538">
        <f t="shared" si="167"/>
        <v>0</v>
      </c>
      <c r="AD243" s="538">
        <f t="shared" si="167"/>
        <v>0</v>
      </c>
      <c r="AE243" s="538">
        <f t="shared" si="167"/>
        <v>0</v>
      </c>
      <c r="AF243" s="538">
        <f t="shared" si="167"/>
        <v>0</v>
      </c>
      <c r="AG243" s="538">
        <f t="shared" si="167"/>
        <v>0</v>
      </c>
      <c r="AH243" s="538">
        <f t="shared" si="167"/>
        <v>0</v>
      </c>
      <c r="AI243" s="538">
        <f t="shared" si="167"/>
        <v>0</v>
      </c>
      <c r="AJ243" s="538">
        <f t="shared" si="167"/>
        <v>0</v>
      </c>
      <c r="AK243" s="539">
        <f t="shared" si="167"/>
        <v>0</v>
      </c>
      <c r="AL243" s="539">
        <f t="shared" si="183"/>
        <v>0</v>
      </c>
      <c r="AN243" s="566">
        <f t="shared" si="184"/>
        <v>-3.5168121954749498E-2</v>
      </c>
      <c r="AO243" s="538">
        <f t="shared" si="185"/>
        <v>-3.5168121954749498E-2</v>
      </c>
      <c r="AP243" s="538">
        <f t="shared" si="186"/>
        <v>-3.4888770930849744E-2</v>
      </c>
      <c r="AQ243" s="538">
        <f t="shared" si="187"/>
        <v>-3.3816425120772875E-2</v>
      </c>
      <c r="AR243" s="538">
        <f t="shared" si="188"/>
        <v>-3.3816425120772875E-2</v>
      </c>
      <c r="AS243" s="538">
        <f t="shared" si="189"/>
        <v>-2.9126213592232997E-2</v>
      </c>
      <c r="AT243" s="538">
        <f t="shared" si="190"/>
        <v>-2.9126213592232997E-2</v>
      </c>
      <c r="AU243" s="538">
        <f t="shared" si="191"/>
        <v>-2.9126213592232997E-2</v>
      </c>
      <c r="AV243" s="538">
        <f t="shared" si="192"/>
        <v>-2.9126213592232997E-2</v>
      </c>
      <c r="AW243" s="539">
        <f t="shared" si="193"/>
        <v>-2.9126213592232997E-2</v>
      </c>
      <c r="AX243" s="569">
        <f t="shared" si="194"/>
        <v>-3.1848893304305945E-2</v>
      </c>
    </row>
    <row r="244" spans="1:50">
      <c r="A244" s="373" t="s">
        <v>1220</v>
      </c>
      <c r="C244" s="421">
        <f>'ANTONIO ARAUJO &amp; CIA'!L14</f>
        <v>61108</v>
      </c>
      <c r="D244" s="421">
        <f>C244</f>
        <v>61108</v>
      </c>
      <c r="E244" s="421">
        <f t="shared" ref="E244:M244" si="199">D244</f>
        <v>61108</v>
      </c>
      <c r="F244" s="421">
        <f t="shared" si="199"/>
        <v>61108</v>
      </c>
      <c r="G244" s="421">
        <f t="shared" si="199"/>
        <v>61108</v>
      </c>
      <c r="H244" s="421">
        <f t="shared" si="199"/>
        <v>61108</v>
      </c>
      <c r="I244" s="421">
        <f t="shared" si="199"/>
        <v>61108</v>
      </c>
      <c r="J244" s="421">
        <f t="shared" si="199"/>
        <v>61108</v>
      </c>
      <c r="K244" s="421">
        <f t="shared" si="199"/>
        <v>61108</v>
      </c>
      <c r="L244" s="421">
        <f t="shared" si="199"/>
        <v>61108</v>
      </c>
      <c r="M244" s="421">
        <f t="shared" si="199"/>
        <v>61108</v>
      </c>
      <c r="N244" s="393"/>
      <c r="O244" s="566">
        <f t="shared" si="170"/>
        <v>1.2680191817263139E-2</v>
      </c>
      <c r="P244" s="538">
        <f t="shared" si="171"/>
        <v>1.1170490020129126E-2</v>
      </c>
      <c r="Q244" s="538">
        <f t="shared" si="172"/>
        <v>9.7132220957098746E-3</v>
      </c>
      <c r="R244" s="538">
        <f t="shared" si="173"/>
        <v>8.4390229065239037E-3</v>
      </c>
      <c r="S244" s="538">
        <f t="shared" si="174"/>
        <v>7.3326934658842742E-3</v>
      </c>
      <c r="T244" s="538">
        <f t="shared" si="175"/>
        <v>6.3660901755080513E-3</v>
      </c>
      <c r="U244" s="538">
        <f t="shared" si="176"/>
        <v>5.5488780320727482E-3</v>
      </c>
      <c r="V244" s="538">
        <f t="shared" si="177"/>
        <v>4.8336890885900966E-3</v>
      </c>
      <c r="W244" s="538">
        <f t="shared" si="178"/>
        <v>4.2084854497065807E-3</v>
      </c>
      <c r="X244" s="538">
        <f t="shared" si="179"/>
        <v>3.6624787711489241E-3</v>
      </c>
      <c r="Y244" s="539">
        <f t="shared" si="180"/>
        <v>3.1860435242171922E-3</v>
      </c>
      <c r="Z244" s="569">
        <f t="shared" si="181"/>
        <v>7.0128441224321736E-3</v>
      </c>
      <c r="AB244" s="566">
        <f t="shared" si="182"/>
        <v>0</v>
      </c>
      <c r="AC244" s="538">
        <f t="shared" si="167"/>
        <v>0</v>
      </c>
      <c r="AD244" s="538">
        <f t="shared" si="167"/>
        <v>0</v>
      </c>
      <c r="AE244" s="538">
        <f t="shared" si="167"/>
        <v>0</v>
      </c>
      <c r="AF244" s="538">
        <f t="shared" si="167"/>
        <v>0</v>
      </c>
      <c r="AG244" s="538">
        <f t="shared" si="167"/>
        <v>0</v>
      </c>
      <c r="AH244" s="538">
        <f t="shared" si="167"/>
        <v>0</v>
      </c>
      <c r="AI244" s="538">
        <f t="shared" si="167"/>
        <v>0</v>
      </c>
      <c r="AJ244" s="538">
        <f t="shared" si="167"/>
        <v>0</v>
      </c>
      <c r="AK244" s="539">
        <f t="shared" si="167"/>
        <v>0</v>
      </c>
      <c r="AL244" s="539">
        <f t="shared" si="183"/>
        <v>0</v>
      </c>
      <c r="AN244" s="566">
        <f t="shared" si="184"/>
        <v>-3.5168121954749498E-2</v>
      </c>
      <c r="AO244" s="538">
        <f t="shared" si="185"/>
        <v>-3.5168121954749498E-2</v>
      </c>
      <c r="AP244" s="538">
        <f t="shared" si="186"/>
        <v>-3.4888770930849744E-2</v>
      </c>
      <c r="AQ244" s="538">
        <f t="shared" si="187"/>
        <v>-3.3816425120772875E-2</v>
      </c>
      <c r="AR244" s="538">
        <f t="shared" si="188"/>
        <v>-3.3816425120772875E-2</v>
      </c>
      <c r="AS244" s="538">
        <f t="shared" si="189"/>
        <v>-2.9126213592232997E-2</v>
      </c>
      <c r="AT244" s="538">
        <f t="shared" si="190"/>
        <v>-2.9126213592232997E-2</v>
      </c>
      <c r="AU244" s="538">
        <f t="shared" si="191"/>
        <v>-2.9126213592232997E-2</v>
      </c>
      <c r="AV244" s="538">
        <f t="shared" si="192"/>
        <v>-2.9126213592232997E-2</v>
      </c>
      <c r="AW244" s="539">
        <f t="shared" si="193"/>
        <v>-2.9126213592232997E-2</v>
      </c>
      <c r="AX244" s="569">
        <f t="shared" si="194"/>
        <v>-3.1848893304305945E-2</v>
      </c>
    </row>
    <row r="245" spans="1:50">
      <c r="A245" s="373" t="s">
        <v>1221</v>
      </c>
      <c r="C245" s="421">
        <f>'ANTONIO ARAUJO &amp; CIA'!L16</f>
        <v>11637</v>
      </c>
      <c r="D245" s="421">
        <f>0</f>
        <v>0</v>
      </c>
      <c r="E245" s="421">
        <f>D245</f>
        <v>0</v>
      </c>
      <c r="F245" s="421">
        <f t="shared" ref="F245:M246" si="200">E245</f>
        <v>0</v>
      </c>
      <c r="G245" s="421">
        <f t="shared" si="200"/>
        <v>0</v>
      </c>
      <c r="H245" s="421">
        <f t="shared" si="200"/>
        <v>0</v>
      </c>
      <c r="I245" s="421">
        <f t="shared" si="200"/>
        <v>0</v>
      </c>
      <c r="J245" s="421">
        <f t="shared" si="200"/>
        <v>0</v>
      </c>
      <c r="K245" s="421">
        <f t="shared" si="200"/>
        <v>0</v>
      </c>
      <c r="L245" s="421">
        <f t="shared" si="200"/>
        <v>0</v>
      </c>
      <c r="M245" s="421">
        <f t="shared" si="200"/>
        <v>0</v>
      </c>
      <c r="N245" s="393"/>
      <c r="O245" s="566">
        <f t="shared" si="170"/>
        <v>2.4147311674001955E-3</v>
      </c>
      <c r="P245" s="538">
        <f t="shared" si="171"/>
        <v>0</v>
      </c>
      <c r="Q245" s="538">
        <f t="shared" si="172"/>
        <v>0</v>
      </c>
      <c r="R245" s="538">
        <f t="shared" si="173"/>
        <v>0</v>
      </c>
      <c r="S245" s="538">
        <f t="shared" si="174"/>
        <v>0</v>
      </c>
      <c r="T245" s="538">
        <f t="shared" si="175"/>
        <v>0</v>
      </c>
      <c r="U245" s="538">
        <f t="shared" si="176"/>
        <v>0</v>
      </c>
      <c r="V245" s="538">
        <f t="shared" si="177"/>
        <v>0</v>
      </c>
      <c r="W245" s="538">
        <f t="shared" si="178"/>
        <v>0</v>
      </c>
      <c r="X245" s="538">
        <f t="shared" si="179"/>
        <v>0</v>
      </c>
      <c r="Y245" s="539">
        <f t="shared" si="180"/>
        <v>0</v>
      </c>
      <c r="Z245" s="569">
        <f t="shared" si="181"/>
        <v>2.1952101521819959E-4</v>
      </c>
      <c r="AB245" s="566">
        <f t="shared" si="182"/>
        <v>-1</v>
      </c>
      <c r="AC245" s="538" t="str">
        <f t="shared" si="167"/>
        <v/>
      </c>
      <c r="AD245" s="538" t="str">
        <f t="shared" si="167"/>
        <v/>
      </c>
      <c r="AE245" s="538" t="str">
        <f t="shared" si="167"/>
        <v/>
      </c>
      <c r="AF245" s="538" t="str">
        <f t="shared" si="167"/>
        <v/>
      </c>
      <c r="AG245" s="538" t="str">
        <f t="shared" si="167"/>
        <v/>
      </c>
      <c r="AH245" s="538" t="str">
        <f t="shared" si="167"/>
        <v/>
      </c>
      <c r="AI245" s="538" t="str">
        <f t="shared" si="167"/>
        <v/>
      </c>
      <c r="AJ245" s="538" t="str">
        <f t="shared" si="167"/>
        <v/>
      </c>
      <c r="AK245" s="539" t="str">
        <f t="shared" si="167"/>
        <v/>
      </c>
      <c r="AL245" s="539">
        <f t="shared" si="183"/>
        <v>-1</v>
      </c>
      <c r="AN245" s="566">
        <f t="shared" si="184"/>
        <v>-1</v>
      </c>
      <c r="AO245" s="538">
        <f t="shared" si="185"/>
        <v>0</v>
      </c>
      <c r="AP245" s="538">
        <f t="shared" si="186"/>
        <v>0</v>
      </c>
      <c r="AQ245" s="538">
        <f t="shared" si="187"/>
        <v>0</v>
      </c>
      <c r="AR245" s="538">
        <f t="shared" si="188"/>
        <v>0</v>
      </c>
      <c r="AS245" s="538">
        <f t="shared" si="189"/>
        <v>0</v>
      </c>
      <c r="AT245" s="538">
        <f t="shared" si="190"/>
        <v>0</v>
      </c>
      <c r="AU245" s="538">
        <f t="shared" si="191"/>
        <v>0</v>
      </c>
      <c r="AV245" s="538">
        <f t="shared" si="192"/>
        <v>0</v>
      </c>
      <c r="AW245" s="539">
        <f t="shared" si="193"/>
        <v>0</v>
      </c>
      <c r="AX245" s="569">
        <f t="shared" si="194"/>
        <v>-0.1</v>
      </c>
    </row>
    <row r="246" spans="1:50">
      <c r="A246" s="373" t="s">
        <v>1230</v>
      </c>
      <c r="C246" s="450">
        <v>2194791</v>
      </c>
      <c r="D246" s="421">
        <f>0</f>
        <v>0</v>
      </c>
      <c r="E246" s="421">
        <f>D246</f>
        <v>0</v>
      </c>
      <c r="F246" s="421">
        <f t="shared" si="200"/>
        <v>0</v>
      </c>
      <c r="G246" s="421">
        <f t="shared" si="200"/>
        <v>0</v>
      </c>
      <c r="H246" s="421">
        <f t="shared" si="200"/>
        <v>0</v>
      </c>
      <c r="I246" s="421">
        <f t="shared" si="200"/>
        <v>0</v>
      </c>
      <c r="J246" s="421">
        <f t="shared" si="200"/>
        <v>0</v>
      </c>
      <c r="K246" s="421">
        <f t="shared" si="200"/>
        <v>0</v>
      </c>
      <c r="L246" s="421">
        <f t="shared" si="200"/>
        <v>0</v>
      </c>
      <c r="M246" s="421">
        <f t="shared" si="200"/>
        <v>0</v>
      </c>
      <c r="N246" s="393"/>
      <c r="O246" s="566">
        <f t="shared" si="170"/>
        <v>0.4554292544151794</v>
      </c>
      <c r="P246" s="538">
        <f t="shared" si="171"/>
        <v>0</v>
      </c>
      <c r="Q246" s="538">
        <f t="shared" si="172"/>
        <v>0</v>
      </c>
      <c r="R246" s="538">
        <f t="shared" si="173"/>
        <v>0</v>
      </c>
      <c r="S246" s="538">
        <f t="shared" si="174"/>
        <v>0</v>
      </c>
      <c r="T246" s="538">
        <f t="shared" si="175"/>
        <v>0</v>
      </c>
      <c r="U246" s="538">
        <f t="shared" si="176"/>
        <v>0</v>
      </c>
      <c r="V246" s="538">
        <f t="shared" si="177"/>
        <v>0</v>
      </c>
      <c r="W246" s="538">
        <f t="shared" si="178"/>
        <v>0</v>
      </c>
      <c r="X246" s="538">
        <f t="shared" si="179"/>
        <v>0</v>
      </c>
      <c r="Y246" s="539">
        <f t="shared" si="180"/>
        <v>0</v>
      </c>
      <c r="Z246" s="569">
        <f t="shared" si="181"/>
        <v>4.1402659492289037E-2</v>
      </c>
      <c r="AB246" s="566">
        <f t="shared" si="182"/>
        <v>-1</v>
      </c>
      <c r="AC246" s="538" t="str">
        <f t="shared" si="167"/>
        <v/>
      </c>
      <c r="AD246" s="538" t="str">
        <f t="shared" si="167"/>
        <v/>
      </c>
      <c r="AE246" s="538" t="str">
        <f t="shared" si="167"/>
        <v/>
      </c>
      <c r="AF246" s="538" t="str">
        <f t="shared" si="167"/>
        <v/>
      </c>
      <c r="AG246" s="538" t="str">
        <f t="shared" si="167"/>
        <v/>
      </c>
      <c r="AH246" s="538" t="str">
        <f t="shared" si="167"/>
        <v/>
      </c>
      <c r="AI246" s="538" t="str">
        <f t="shared" si="167"/>
        <v/>
      </c>
      <c r="AJ246" s="538" t="str">
        <f t="shared" si="167"/>
        <v/>
      </c>
      <c r="AK246" s="539" t="str">
        <f t="shared" si="167"/>
        <v/>
      </c>
      <c r="AL246" s="539">
        <f t="shared" si="183"/>
        <v>-1</v>
      </c>
      <c r="AN246" s="566">
        <f t="shared" si="184"/>
        <v>-1</v>
      </c>
      <c r="AO246" s="538">
        <f t="shared" si="185"/>
        <v>0</v>
      </c>
      <c r="AP246" s="538">
        <f t="shared" si="186"/>
        <v>0</v>
      </c>
      <c r="AQ246" s="538">
        <f t="shared" si="187"/>
        <v>0</v>
      </c>
      <c r="AR246" s="538">
        <f t="shared" si="188"/>
        <v>0</v>
      </c>
      <c r="AS246" s="538">
        <f t="shared" si="189"/>
        <v>0</v>
      </c>
      <c r="AT246" s="538">
        <f t="shared" si="190"/>
        <v>0</v>
      </c>
      <c r="AU246" s="538">
        <f t="shared" si="191"/>
        <v>0</v>
      </c>
      <c r="AV246" s="538">
        <f t="shared" si="192"/>
        <v>0</v>
      </c>
      <c r="AW246" s="539">
        <f t="shared" si="193"/>
        <v>0</v>
      </c>
      <c r="AX246" s="569">
        <f t="shared" si="194"/>
        <v>-0.1</v>
      </c>
    </row>
    <row r="247" spans="1:50">
      <c r="A247" s="373" t="s">
        <v>14</v>
      </c>
      <c r="C247" s="421">
        <f>-'ANTONIO ARAUJO &amp; CIA'!L18</f>
        <v>-56479</v>
      </c>
      <c r="D247" s="421">
        <f>C247</f>
        <v>-56479</v>
      </c>
      <c r="E247" s="421">
        <f t="shared" ref="E247:M247" si="201">D247</f>
        <v>-56479</v>
      </c>
      <c r="F247" s="421">
        <f t="shared" si="201"/>
        <v>-56479</v>
      </c>
      <c r="G247" s="421">
        <f t="shared" si="201"/>
        <v>-56479</v>
      </c>
      <c r="H247" s="421">
        <f t="shared" si="201"/>
        <v>-56479</v>
      </c>
      <c r="I247" s="421">
        <f t="shared" si="201"/>
        <v>-56479</v>
      </c>
      <c r="J247" s="421">
        <f t="shared" si="201"/>
        <v>-56479</v>
      </c>
      <c r="K247" s="421">
        <f t="shared" si="201"/>
        <v>-56479</v>
      </c>
      <c r="L247" s="421">
        <f t="shared" si="201"/>
        <v>-56479</v>
      </c>
      <c r="M247" s="421">
        <f t="shared" si="201"/>
        <v>-56479</v>
      </c>
      <c r="N247" s="393"/>
      <c r="O247" s="566">
        <f t="shared" si="170"/>
        <v>-1.1719652969287243E-2</v>
      </c>
      <c r="P247" s="538">
        <f t="shared" si="171"/>
        <v>-1.032431278796349E-2</v>
      </c>
      <c r="Q247" s="538">
        <f t="shared" si="172"/>
        <v>-8.9774345542907308E-3</v>
      </c>
      <c r="R247" s="538">
        <f t="shared" si="173"/>
        <v>-7.7997573924455639E-3</v>
      </c>
      <c r="S247" s="538">
        <f t="shared" si="174"/>
        <v>-6.7772336561444969E-3</v>
      </c>
      <c r="T247" s="538">
        <f t="shared" si="175"/>
        <v>-5.8838516564528251E-3</v>
      </c>
      <c r="U247" s="538">
        <f t="shared" si="176"/>
        <v>-5.1285442556365246E-3</v>
      </c>
      <c r="V247" s="538">
        <f t="shared" si="177"/>
        <v>-4.4675316821771302E-3</v>
      </c>
      <c r="W247" s="538">
        <f t="shared" si="178"/>
        <v>-3.8896879248867247E-3</v>
      </c>
      <c r="X247" s="538">
        <f t="shared" si="179"/>
        <v>-3.385041868752374E-3</v>
      </c>
      <c r="Y247" s="539">
        <f t="shared" si="180"/>
        <v>-2.9446971297418145E-3</v>
      </c>
      <c r="Z247" s="569">
        <f t="shared" si="181"/>
        <v>-6.4816132616162649E-3</v>
      </c>
      <c r="AB247" s="566">
        <f t="shared" si="182"/>
        <v>0</v>
      </c>
      <c r="AC247" s="538">
        <f t="shared" si="167"/>
        <v>0</v>
      </c>
      <c r="AD247" s="538">
        <f t="shared" si="167"/>
        <v>0</v>
      </c>
      <c r="AE247" s="538">
        <f t="shared" si="167"/>
        <v>0</v>
      </c>
      <c r="AF247" s="538">
        <f t="shared" si="167"/>
        <v>0</v>
      </c>
      <c r="AG247" s="538">
        <f t="shared" si="167"/>
        <v>0</v>
      </c>
      <c r="AH247" s="538">
        <f t="shared" si="167"/>
        <v>0</v>
      </c>
      <c r="AI247" s="538">
        <f t="shared" si="167"/>
        <v>0</v>
      </c>
      <c r="AJ247" s="538">
        <f t="shared" si="167"/>
        <v>0</v>
      </c>
      <c r="AK247" s="539">
        <f t="shared" si="167"/>
        <v>0</v>
      </c>
      <c r="AL247" s="539">
        <f t="shared" si="183"/>
        <v>0</v>
      </c>
      <c r="AN247" s="566">
        <f t="shared" si="184"/>
        <v>-3.5168121954749498E-2</v>
      </c>
      <c r="AO247" s="538">
        <f t="shared" si="185"/>
        <v>-3.5168121954749498E-2</v>
      </c>
      <c r="AP247" s="538">
        <f t="shared" si="186"/>
        <v>-3.4888770930849744E-2</v>
      </c>
      <c r="AQ247" s="538">
        <f t="shared" si="187"/>
        <v>-3.3816425120772875E-2</v>
      </c>
      <c r="AR247" s="538">
        <f t="shared" si="188"/>
        <v>-3.3816425120772875E-2</v>
      </c>
      <c r="AS247" s="538">
        <f t="shared" si="189"/>
        <v>-2.9126213592232997E-2</v>
      </c>
      <c r="AT247" s="538">
        <f t="shared" si="190"/>
        <v>-2.9126213592232997E-2</v>
      </c>
      <c r="AU247" s="538">
        <f t="shared" si="191"/>
        <v>-2.9126213592232997E-2</v>
      </c>
      <c r="AV247" s="538">
        <f t="shared" si="192"/>
        <v>-2.9126213592232997E-2</v>
      </c>
      <c r="AW247" s="539">
        <f t="shared" si="193"/>
        <v>-2.9126213592232997E-2</v>
      </c>
      <c r="AX247" s="569">
        <f t="shared" si="194"/>
        <v>-3.1848893304305945E-2</v>
      </c>
    </row>
    <row r="248" spans="1:50">
      <c r="A248" s="372" t="s">
        <v>1235</v>
      </c>
      <c r="C248" s="421">
        <f>'ANTONIO ARAUJO &amp; CIA'!L22</f>
        <v>727361</v>
      </c>
      <c r="D248" s="421">
        <f t="shared" ref="D248:M248" si="202">D101</f>
        <v>1308150.9278783884</v>
      </c>
      <c r="E248" s="421">
        <f t="shared" si="202"/>
        <v>1517221.6766423413</v>
      </c>
      <c r="F248" s="421">
        <f t="shared" si="202"/>
        <v>1759197.0966385067</v>
      </c>
      <c r="G248" s="421">
        <f t="shared" si="202"/>
        <v>2037500.2879483148</v>
      </c>
      <c r="H248" s="421">
        <f t="shared" si="202"/>
        <v>2359830.7610454918</v>
      </c>
      <c r="I248" s="421">
        <f t="shared" si="202"/>
        <v>2719949.9466086538</v>
      </c>
      <c r="J248" s="421">
        <f t="shared" si="202"/>
        <v>3135024.6950670211</v>
      </c>
      <c r="K248" s="421">
        <f t="shared" si="202"/>
        <v>3613441.435175857</v>
      </c>
      <c r="L248" s="421">
        <f t="shared" si="202"/>
        <v>4164866.3967435262</v>
      </c>
      <c r="M248" s="421">
        <f t="shared" si="202"/>
        <v>4800440.9131593453</v>
      </c>
      <c r="N248" s="393"/>
      <c r="O248" s="566">
        <f t="shared" si="170"/>
        <v>0.15093076193618404</v>
      </c>
      <c r="P248" s="538">
        <f t="shared" si="171"/>
        <v>0.23912886831001171</v>
      </c>
      <c r="Q248" s="538">
        <f t="shared" si="172"/>
        <v>0.24116500480546527</v>
      </c>
      <c r="R248" s="538">
        <f t="shared" si="173"/>
        <v>0.24294535241904011</v>
      </c>
      <c r="S248" s="538">
        <f t="shared" si="174"/>
        <v>0.24449114761039364</v>
      </c>
      <c r="T248" s="538">
        <f t="shared" si="175"/>
        <v>0.24584171342137515</v>
      </c>
      <c r="U248" s="538">
        <f t="shared" si="176"/>
        <v>0.24698354564171962</v>
      </c>
      <c r="V248" s="538">
        <f t="shared" si="177"/>
        <v>0.24798282812407466</v>
      </c>
      <c r="W248" s="538">
        <f t="shared" si="178"/>
        <v>0.24885638056071971</v>
      </c>
      <c r="X248" s="538">
        <f t="shared" si="179"/>
        <v>0.24961927673536488</v>
      </c>
      <c r="Y248" s="539">
        <f t="shared" si="180"/>
        <v>0.25028496571248604</v>
      </c>
      <c r="Z248" s="569">
        <f t="shared" si="181"/>
        <v>0.23711180411607591</v>
      </c>
      <c r="AB248" s="566">
        <f t="shared" si="182"/>
        <v>0.79848923420198292</v>
      </c>
      <c r="AC248" s="538">
        <f t="shared" si="167"/>
        <v>0.15982158045251871</v>
      </c>
      <c r="AD248" s="538">
        <f t="shared" si="167"/>
        <v>0.15948587060241892</v>
      </c>
      <c r="AE248" s="538">
        <f t="shared" si="167"/>
        <v>0.15819898284370337</v>
      </c>
      <c r="AF248" s="538">
        <f t="shared" si="167"/>
        <v>0.15819898284370382</v>
      </c>
      <c r="AG248" s="538">
        <f t="shared" si="167"/>
        <v>0.15260381867537642</v>
      </c>
      <c r="AH248" s="538">
        <f t="shared" si="167"/>
        <v>0.15260381867537665</v>
      </c>
      <c r="AI248" s="538">
        <f t="shared" si="167"/>
        <v>0.15260381867537665</v>
      </c>
      <c r="AJ248" s="538">
        <f t="shared" si="167"/>
        <v>0.15260381867537665</v>
      </c>
      <c r="AK248" s="539">
        <f t="shared" si="167"/>
        <v>0.15260381867537687</v>
      </c>
      <c r="AL248" s="539">
        <f t="shared" si="183"/>
        <v>0.21972137443212109</v>
      </c>
      <c r="AN248" s="566">
        <f t="shared" si="184"/>
        <v>0.73523974547926363</v>
      </c>
      <c r="AO248" s="538">
        <f t="shared" si="185"/>
        <v>0.11903283366541428</v>
      </c>
      <c r="AP248" s="538">
        <f t="shared" si="186"/>
        <v>0.11903283366541428</v>
      </c>
      <c r="AQ248" s="538">
        <f t="shared" si="187"/>
        <v>0.11903283366541406</v>
      </c>
      <c r="AR248" s="538">
        <f t="shared" si="188"/>
        <v>0.11903283366541451</v>
      </c>
      <c r="AS248" s="538">
        <f t="shared" si="189"/>
        <v>0.11903283366541406</v>
      </c>
      <c r="AT248" s="538">
        <f t="shared" si="190"/>
        <v>0.11903283366541428</v>
      </c>
      <c r="AU248" s="538">
        <f t="shared" si="191"/>
        <v>0.11903283366541428</v>
      </c>
      <c r="AV248" s="538">
        <f t="shared" si="192"/>
        <v>0.11903283366541428</v>
      </c>
      <c r="AW248" s="539">
        <f t="shared" si="193"/>
        <v>0.11903283366541451</v>
      </c>
      <c r="AX248" s="569">
        <f t="shared" si="194"/>
        <v>0.18065352484679922</v>
      </c>
    </row>
    <row r="249" spans="1:50">
      <c r="A249" s="371" t="s">
        <v>1202</v>
      </c>
      <c r="C249" s="416">
        <f>'ANTONIO ARAUJO &amp; CIA'!L25</f>
        <v>0</v>
      </c>
      <c r="D249" s="416">
        <f>C249</f>
        <v>0</v>
      </c>
      <c r="E249" s="416">
        <f t="shared" ref="E249:M249" si="203">D249</f>
        <v>0</v>
      </c>
      <c r="F249" s="416">
        <f t="shared" si="203"/>
        <v>0</v>
      </c>
      <c r="G249" s="416">
        <f t="shared" si="203"/>
        <v>0</v>
      </c>
      <c r="H249" s="416">
        <f t="shared" si="203"/>
        <v>0</v>
      </c>
      <c r="I249" s="416">
        <f t="shared" si="203"/>
        <v>0</v>
      </c>
      <c r="J249" s="416">
        <f t="shared" si="203"/>
        <v>0</v>
      </c>
      <c r="K249" s="416">
        <f t="shared" si="203"/>
        <v>0</v>
      </c>
      <c r="L249" s="416">
        <f t="shared" si="203"/>
        <v>0</v>
      </c>
      <c r="M249" s="416">
        <f t="shared" si="203"/>
        <v>0</v>
      </c>
      <c r="N249" s="388"/>
      <c r="O249" s="566">
        <f t="shared" si="170"/>
        <v>0</v>
      </c>
      <c r="P249" s="538">
        <f t="shared" si="171"/>
        <v>0</v>
      </c>
      <c r="Q249" s="538">
        <f t="shared" si="172"/>
        <v>0</v>
      </c>
      <c r="R249" s="538">
        <f t="shared" si="173"/>
        <v>0</v>
      </c>
      <c r="S249" s="538">
        <f t="shared" si="174"/>
        <v>0</v>
      </c>
      <c r="T249" s="538">
        <f t="shared" si="175"/>
        <v>0</v>
      </c>
      <c r="U249" s="538">
        <f t="shared" si="176"/>
        <v>0</v>
      </c>
      <c r="V249" s="538">
        <f t="shared" si="177"/>
        <v>0</v>
      </c>
      <c r="W249" s="538">
        <f t="shared" si="178"/>
        <v>0</v>
      </c>
      <c r="X249" s="538">
        <f t="shared" si="179"/>
        <v>0</v>
      </c>
      <c r="Y249" s="539">
        <f t="shared" si="180"/>
        <v>0</v>
      </c>
      <c r="Z249" s="569">
        <f t="shared" si="181"/>
        <v>0</v>
      </c>
      <c r="AB249" s="566" t="str">
        <f t="shared" si="182"/>
        <v/>
      </c>
      <c r="AC249" s="538" t="str">
        <f t="shared" si="167"/>
        <v/>
      </c>
      <c r="AD249" s="538" t="str">
        <f t="shared" si="167"/>
        <v/>
      </c>
      <c r="AE249" s="538" t="str">
        <f t="shared" si="167"/>
        <v/>
      </c>
      <c r="AF249" s="538" t="str">
        <f t="shared" si="167"/>
        <v/>
      </c>
      <c r="AG249" s="538" t="str">
        <f t="shared" si="167"/>
        <v/>
      </c>
      <c r="AH249" s="538" t="str">
        <f t="shared" si="167"/>
        <v/>
      </c>
      <c r="AI249" s="538" t="str">
        <f t="shared" si="167"/>
        <v/>
      </c>
      <c r="AJ249" s="538" t="str">
        <f t="shared" si="167"/>
        <v/>
      </c>
      <c r="AK249" s="539" t="str">
        <f t="shared" si="167"/>
        <v/>
      </c>
      <c r="AL249" s="539"/>
      <c r="AN249" s="566">
        <f t="shared" si="184"/>
        <v>0</v>
      </c>
      <c r="AO249" s="538">
        <f t="shared" si="185"/>
        <v>0</v>
      </c>
      <c r="AP249" s="538">
        <f t="shared" si="186"/>
        <v>0</v>
      </c>
      <c r="AQ249" s="538">
        <f t="shared" si="187"/>
        <v>0</v>
      </c>
      <c r="AR249" s="538">
        <f t="shared" si="188"/>
        <v>0</v>
      </c>
      <c r="AS249" s="538">
        <f t="shared" si="189"/>
        <v>0</v>
      </c>
      <c r="AT249" s="538">
        <f t="shared" si="190"/>
        <v>0</v>
      </c>
      <c r="AU249" s="538">
        <f t="shared" si="191"/>
        <v>0</v>
      </c>
      <c r="AV249" s="538">
        <f t="shared" si="192"/>
        <v>0</v>
      </c>
      <c r="AW249" s="539">
        <f t="shared" si="193"/>
        <v>0</v>
      </c>
      <c r="AX249" s="569">
        <f t="shared" si="194"/>
        <v>0</v>
      </c>
    </row>
    <row r="250" spans="1:50">
      <c r="A250" s="372" t="s">
        <v>1203</v>
      </c>
      <c r="C250" s="380">
        <f>SUM(C251:C252)</f>
        <v>316058</v>
      </c>
      <c r="D250" s="380">
        <f>SUM(D251:D252)</f>
        <v>316058</v>
      </c>
      <c r="E250" s="380">
        <f t="shared" ref="E250:M250" si="204">SUM(E251:E252)</f>
        <v>316058</v>
      </c>
      <c r="F250" s="380">
        <f t="shared" si="204"/>
        <v>316058</v>
      </c>
      <c r="G250" s="380">
        <f t="shared" si="204"/>
        <v>316058</v>
      </c>
      <c r="H250" s="380">
        <f t="shared" si="204"/>
        <v>316058</v>
      </c>
      <c r="I250" s="380">
        <f t="shared" si="204"/>
        <v>316058</v>
      </c>
      <c r="J250" s="380">
        <f t="shared" si="204"/>
        <v>316058</v>
      </c>
      <c r="K250" s="380">
        <f t="shared" si="204"/>
        <v>316058</v>
      </c>
      <c r="L250" s="380">
        <f t="shared" si="204"/>
        <v>316058</v>
      </c>
      <c r="M250" s="380">
        <f t="shared" si="204"/>
        <v>316058</v>
      </c>
      <c r="N250" s="393"/>
      <c r="O250" s="566">
        <f t="shared" si="170"/>
        <v>6.5583492593122877E-2</v>
      </c>
      <c r="P250" s="538">
        <f t="shared" si="171"/>
        <v>5.7775131484944217E-2</v>
      </c>
      <c r="Q250" s="538">
        <f t="shared" si="172"/>
        <v>5.0237964736628123E-2</v>
      </c>
      <c r="R250" s="538">
        <f t="shared" si="173"/>
        <v>4.3647651727926486E-2</v>
      </c>
      <c r="S250" s="538">
        <f t="shared" si="174"/>
        <v>3.7925581453172284E-2</v>
      </c>
      <c r="T250" s="538">
        <f t="shared" si="175"/>
        <v>3.2926191802885446E-2</v>
      </c>
      <c r="U250" s="538">
        <f t="shared" si="176"/>
        <v>2.8699471314080786E-2</v>
      </c>
      <c r="V250" s="538">
        <f t="shared" si="177"/>
        <v>2.5000427210211569E-2</v>
      </c>
      <c r="W250" s="538">
        <f t="shared" si="178"/>
        <v>2.1766798034027663E-2</v>
      </c>
      <c r="X250" s="538">
        <f t="shared" si="179"/>
        <v>1.8942785158273658E-2</v>
      </c>
      <c r="Y250" s="539">
        <f t="shared" si="180"/>
        <v>1.6478604179109728E-2</v>
      </c>
      <c r="Z250" s="569">
        <f t="shared" si="181"/>
        <v>3.6271281790398437E-2</v>
      </c>
      <c r="AB250" s="566">
        <f t="shared" si="182"/>
        <v>0</v>
      </c>
      <c r="AC250" s="538">
        <f t="shared" si="167"/>
        <v>0</v>
      </c>
      <c r="AD250" s="538">
        <f t="shared" si="167"/>
        <v>0</v>
      </c>
      <c r="AE250" s="538">
        <f t="shared" si="167"/>
        <v>0</v>
      </c>
      <c r="AF250" s="538">
        <f t="shared" si="167"/>
        <v>0</v>
      </c>
      <c r="AG250" s="538">
        <f t="shared" si="167"/>
        <v>0</v>
      </c>
      <c r="AH250" s="538">
        <f t="shared" si="167"/>
        <v>0</v>
      </c>
      <c r="AI250" s="538">
        <f t="shared" si="167"/>
        <v>0</v>
      </c>
      <c r="AJ250" s="538">
        <f t="shared" si="167"/>
        <v>0</v>
      </c>
      <c r="AK250" s="539">
        <f t="shared" si="167"/>
        <v>0</v>
      </c>
      <c r="AL250" s="539">
        <f t="shared" si="183"/>
        <v>0</v>
      </c>
      <c r="AN250" s="566">
        <f t="shared" si="184"/>
        <v>-3.5168121954749498E-2</v>
      </c>
      <c r="AO250" s="538">
        <f t="shared" si="185"/>
        <v>-3.5168121954749498E-2</v>
      </c>
      <c r="AP250" s="538">
        <f t="shared" si="186"/>
        <v>-3.4888770930849744E-2</v>
      </c>
      <c r="AQ250" s="538">
        <f t="shared" si="187"/>
        <v>-3.3816425120772875E-2</v>
      </c>
      <c r="AR250" s="538">
        <f t="shared" si="188"/>
        <v>-3.3816425120772875E-2</v>
      </c>
      <c r="AS250" s="538">
        <f t="shared" si="189"/>
        <v>-2.9126213592232997E-2</v>
      </c>
      <c r="AT250" s="538">
        <f t="shared" si="190"/>
        <v>-2.9126213592232997E-2</v>
      </c>
      <c r="AU250" s="538">
        <f t="shared" si="191"/>
        <v>-2.9126213592232997E-2</v>
      </c>
      <c r="AV250" s="538">
        <f t="shared" si="192"/>
        <v>-2.9126213592232997E-2</v>
      </c>
      <c r="AW250" s="539">
        <f t="shared" si="193"/>
        <v>-2.9126213592232997E-2</v>
      </c>
      <c r="AX250" s="569">
        <f t="shared" si="194"/>
        <v>-3.1848893304305945E-2</v>
      </c>
    </row>
    <row r="251" spans="1:50">
      <c r="A251" s="363" t="s">
        <v>307</v>
      </c>
      <c r="C251" s="417">
        <f>'ANTONIO ARAUJO &amp; CIA'!L27</f>
        <v>295941</v>
      </c>
      <c r="D251" s="421">
        <f>D88</f>
        <v>295941</v>
      </c>
      <c r="E251" s="421">
        <f t="shared" ref="E251:M251" si="205">E88</f>
        <v>295941</v>
      </c>
      <c r="F251" s="421">
        <f t="shared" si="205"/>
        <v>295941</v>
      </c>
      <c r="G251" s="421">
        <f t="shared" si="205"/>
        <v>295941</v>
      </c>
      <c r="H251" s="421">
        <f t="shared" si="205"/>
        <v>295941</v>
      </c>
      <c r="I251" s="421">
        <f t="shared" si="205"/>
        <v>295941</v>
      </c>
      <c r="J251" s="421">
        <f t="shared" si="205"/>
        <v>295941</v>
      </c>
      <c r="K251" s="421">
        <f t="shared" si="205"/>
        <v>295941</v>
      </c>
      <c r="L251" s="421">
        <f t="shared" si="205"/>
        <v>295941</v>
      </c>
      <c r="M251" s="421">
        <f t="shared" si="205"/>
        <v>295941</v>
      </c>
      <c r="N251" s="393"/>
      <c r="O251" s="566">
        <f t="shared" si="170"/>
        <v>6.1409122317743509E-2</v>
      </c>
      <c r="P251" s="538">
        <f t="shared" si="171"/>
        <v>5.4097761128608916E-2</v>
      </c>
      <c r="Q251" s="538">
        <f t="shared" si="172"/>
        <v>4.7040332857015053E-2</v>
      </c>
      <c r="R251" s="538">
        <f t="shared" si="173"/>
        <v>4.0869491359226129E-2</v>
      </c>
      <c r="S251" s="538">
        <f t="shared" si="174"/>
        <v>3.5511629197277898E-2</v>
      </c>
      <c r="T251" s="538">
        <f t="shared" si="175"/>
        <v>3.0830449247725801E-2</v>
      </c>
      <c r="U251" s="538">
        <f t="shared" si="176"/>
        <v>2.6872758291707162E-2</v>
      </c>
      <c r="V251" s="538">
        <f t="shared" si="177"/>
        <v>2.3409157271821066E-2</v>
      </c>
      <c r="W251" s="538">
        <f t="shared" si="178"/>
        <v>2.0381347654507023E-2</v>
      </c>
      <c r="X251" s="538">
        <f t="shared" si="179"/>
        <v>1.7737082378945206E-2</v>
      </c>
      <c r="Y251" s="539">
        <f t="shared" si="180"/>
        <v>1.5429745804155922E-2</v>
      </c>
      <c r="Z251" s="569">
        <f t="shared" si="181"/>
        <v>3.3962625228066701E-2</v>
      </c>
      <c r="AB251" s="566">
        <f t="shared" si="182"/>
        <v>0</v>
      </c>
      <c r="AC251" s="538">
        <f t="shared" si="167"/>
        <v>0</v>
      </c>
      <c r="AD251" s="538">
        <f t="shared" si="167"/>
        <v>0</v>
      </c>
      <c r="AE251" s="538">
        <f t="shared" si="167"/>
        <v>0</v>
      </c>
      <c r="AF251" s="538">
        <f t="shared" si="167"/>
        <v>0</v>
      </c>
      <c r="AG251" s="538">
        <f t="shared" si="167"/>
        <v>0</v>
      </c>
      <c r="AH251" s="538">
        <f t="shared" si="167"/>
        <v>0</v>
      </c>
      <c r="AI251" s="538">
        <f t="shared" si="167"/>
        <v>0</v>
      </c>
      <c r="AJ251" s="538">
        <f t="shared" si="167"/>
        <v>0</v>
      </c>
      <c r="AK251" s="539">
        <f t="shared" si="167"/>
        <v>0</v>
      </c>
      <c r="AL251" s="539">
        <f t="shared" si="183"/>
        <v>0</v>
      </c>
      <c r="AN251" s="566">
        <f t="shared" si="184"/>
        <v>-3.5168121954749498E-2</v>
      </c>
      <c r="AO251" s="538">
        <f t="shared" si="185"/>
        <v>-3.5168121954749498E-2</v>
      </c>
      <c r="AP251" s="538">
        <f t="shared" si="186"/>
        <v>-3.4888770930849744E-2</v>
      </c>
      <c r="AQ251" s="538">
        <f t="shared" si="187"/>
        <v>-3.3816425120772875E-2</v>
      </c>
      <c r="AR251" s="538">
        <f t="shared" si="188"/>
        <v>-3.3816425120772875E-2</v>
      </c>
      <c r="AS251" s="538">
        <f t="shared" si="189"/>
        <v>-2.9126213592232997E-2</v>
      </c>
      <c r="AT251" s="538">
        <f t="shared" si="190"/>
        <v>-2.9126213592232997E-2</v>
      </c>
      <c r="AU251" s="538">
        <f t="shared" si="191"/>
        <v>-2.9126213592232997E-2</v>
      </c>
      <c r="AV251" s="538">
        <f t="shared" si="192"/>
        <v>-2.9126213592232997E-2</v>
      </c>
      <c r="AW251" s="539">
        <f t="shared" si="193"/>
        <v>-2.9126213592232997E-2</v>
      </c>
      <c r="AX251" s="569">
        <f t="shared" si="194"/>
        <v>-3.1848893304305945E-2</v>
      </c>
    </row>
    <row r="252" spans="1:50">
      <c r="A252" s="371" t="s">
        <v>1204</v>
      </c>
      <c r="C252" s="416">
        <f>'ANTONIO ARAUJO &amp; CIA'!L29</f>
        <v>20117</v>
      </c>
      <c r="D252" s="416">
        <f>C252</f>
        <v>20117</v>
      </c>
      <c r="E252" s="416">
        <f t="shared" ref="E252:M252" si="206">D252</f>
        <v>20117</v>
      </c>
      <c r="F252" s="416">
        <f t="shared" si="206"/>
        <v>20117</v>
      </c>
      <c r="G252" s="416">
        <f t="shared" si="206"/>
        <v>20117</v>
      </c>
      <c r="H252" s="416">
        <f t="shared" si="206"/>
        <v>20117</v>
      </c>
      <c r="I252" s="416">
        <f t="shared" si="206"/>
        <v>20117</v>
      </c>
      <c r="J252" s="416">
        <f t="shared" si="206"/>
        <v>20117</v>
      </c>
      <c r="K252" s="416">
        <f t="shared" si="206"/>
        <v>20117</v>
      </c>
      <c r="L252" s="416">
        <f t="shared" si="206"/>
        <v>20117</v>
      </c>
      <c r="M252" s="416">
        <f t="shared" si="206"/>
        <v>20117</v>
      </c>
      <c r="N252" s="393"/>
      <c r="O252" s="566">
        <f t="shared" si="170"/>
        <v>4.1743702753793705E-3</v>
      </c>
      <c r="P252" s="538">
        <f t="shared" si="171"/>
        <v>3.6773703563353021E-3</v>
      </c>
      <c r="Q252" s="538">
        <f t="shared" si="172"/>
        <v>3.197631879613071E-3</v>
      </c>
      <c r="R252" s="538">
        <f t="shared" si="173"/>
        <v>2.7781603687003563E-3</v>
      </c>
      <c r="S252" s="538">
        <f t="shared" si="174"/>
        <v>2.413952255894383E-3</v>
      </c>
      <c r="T252" s="538">
        <f t="shared" si="175"/>
        <v>2.0957425551596429E-3</v>
      </c>
      <c r="U252" s="538">
        <f t="shared" si="176"/>
        <v>1.8267130223736251E-3</v>
      </c>
      <c r="V252" s="538">
        <f t="shared" si="177"/>
        <v>1.5912699383905048E-3</v>
      </c>
      <c r="W252" s="538">
        <f t="shared" si="178"/>
        <v>1.3854503795206403E-3</v>
      </c>
      <c r="X252" s="538">
        <f t="shared" si="179"/>
        <v>1.2057027793284498E-3</v>
      </c>
      <c r="Y252" s="539">
        <f t="shared" si="180"/>
        <v>1.0488583749538073E-3</v>
      </c>
      <c r="Z252" s="569">
        <f t="shared" si="181"/>
        <v>2.3086565623317411E-3</v>
      </c>
      <c r="AB252" s="566">
        <f t="shared" si="182"/>
        <v>0</v>
      </c>
      <c r="AC252" s="538">
        <f t="shared" si="167"/>
        <v>0</v>
      </c>
      <c r="AD252" s="538">
        <f t="shared" si="167"/>
        <v>0</v>
      </c>
      <c r="AE252" s="538">
        <f t="shared" si="167"/>
        <v>0</v>
      </c>
      <c r="AF252" s="538">
        <f t="shared" si="167"/>
        <v>0</v>
      </c>
      <c r="AG252" s="538">
        <f t="shared" si="167"/>
        <v>0</v>
      </c>
      <c r="AH252" s="538">
        <f t="shared" si="167"/>
        <v>0</v>
      </c>
      <c r="AI252" s="538">
        <f t="shared" si="167"/>
        <v>0</v>
      </c>
      <c r="AJ252" s="538">
        <f t="shared" si="167"/>
        <v>0</v>
      </c>
      <c r="AK252" s="539">
        <f t="shared" si="167"/>
        <v>0</v>
      </c>
      <c r="AL252" s="539">
        <f t="shared" si="183"/>
        <v>0</v>
      </c>
      <c r="AN252" s="566">
        <f t="shared" si="184"/>
        <v>-3.5168121954749498E-2</v>
      </c>
      <c r="AO252" s="538">
        <f t="shared" si="185"/>
        <v>-3.5168121954749498E-2</v>
      </c>
      <c r="AP252" s="538">
        <f t="shared" si="186"/>
        <v>-3.4888770930849744E-2</v>
      </c>
      <c r="AQ252" s="538">
        <f t="shared" si="187"/>
        <v>-3.3816425120772875E-2</v>
      </c>
      <c r="AR252" s="538">
        <f t="shared" si="188"/>
        <v>-3.3816425120772875E-2</v>
      </c>
      <c r="AS252" s="538">
        <f t="shared" si="189"/>
        <v>-2.9126213592232997E-2</v>
      </c>
      <c r="AT252" s="538">
        <f t="shared" si="190"/>
        <v>-2.9126213592232997E-2</v>
      </c>
      <c r="AU252" s="538">
        <f t="shared" si="191"/>
        <v>-2.9126213592232997E-2</v>
      </c>
      <c r="AV252" s="538">
        <f t="shared" si="192"/>
        <v>-2.9126213592232997E-2</v>
      </c>
      <c r="AW252" s="539">
        <f t="shared" si="193"/>
        <v>-2.9126213592232997E-2</v>
      </c>
      <c r="AX252" s="569">
        <f t="shared" si="194"/>
        <v>-3.1848893304305945E-2</v>
      </c>
    </row>
    <row r="253" spans="1:50" ht="13.5" customHeight="1">
      <c r="A253" s="372" t="s">
        <v>1208</v>
      </c>
      <c r="C253" s="421">
        <f t="shared" ref="C253:M253" si="207">C250+C238</f>
        <v>4819170</v>
      </c>
      <c r="D253" s="421">
        <f t="shared" si="207"/>
        <v>5470485.170291</v>
      </c>
      <c r="E253" s="421">
        <f t="shared" si="207"/>
        <v>6291218.2381776404</v>
      </c>
      <c r="F253" s="421">
        <f t="shared" si="207"/>
        <v>7241122.6603923086</v>
      </c>
      <c r="G253" s="421">
        <f t="shared" si="207"/>
        <v>8333636.2394402614</v>
      </c>
      <c r="H253" s="421">
        <f t="shared" si="207"/>
        <v>9598984.3554365337</v>
      </c>
      <c r="I253" s="421">
        <f t="shared" si="207"/>
        <v>11012676.733349191</v>
      </c>
      <c r="J253" s="421">
        <f t="shared" si="207"/>
        <v>12642103.96656359</v>
      </c>
      <c r="K253" s="421">
        <f t="shared" si="207"/>
        <v>14520188.017820165</v>
      </c>
      <c r="L253" s="421">
        <f t="shared" si="207"/>
        <v>16684874.867091816</v>
      </c>
      <c r="M253" s="421">
        <f t="shared" si="207"/>
        <v>19179901.195798691</v>
      </c>
      <c r="N253" s="393"/>
      <c r="O253" s="566">
        <f t="shared" si="170"/>
        <v>1</v>
      </c>
      <c r="P253" s="538">
        <f t="shared" si="171"/>
        <v>1</v>
      </c>
      <c r="Q253" s="538">
        <f t="shared" si="172"/>
        <v>1</v>
      </c>
      <c r="R253" s="538">
        <f t="shared" si="173"/>
        <v>1</v>
      </c>
      <c r="S253" s="538">
        <f t="shared" si="174"/>
        <v>1</v>
      </c>
      <c r="T253" s="538">
        <f t="shared" si="175"/>
        <v>1</v>
      </c>
      <c r="U253" s="538">
        <f t="shared" si="176"/>
        <v>1</v>
      </c>
      <c r="V253" s="538">
        <f t="shared" si="177"/>
        <v>1</v>
      </c>
      <c r="W253" s="538">
        <f t="shared" si="178"/>
        <v>1</v>
      </c>
      <c r="X253" s="538">
        <f t="shared" si="179"/>
        <v>1</v>
      </c>
      <c r="Y253" s="539">
        <f t="shared" si="180"/>
        <v>1</v>
      </c>
      <c r="Z253" s="569">
        <f t="shared" si="181"/>
        <v>1</v>
      </c>
      <c r="AB253" s="566">
        <f t="shared" si="182"/>
        <v>0.13515090156416987</v>
      </c>
      <c r="AC253" s="538">
        <f t="shared" si="167"/>
        <v>0.15002930130290104</v>
      </c>
      <c r="AD253" s="538">
        <f t="shared" si="167"/>
        <v>0.15098894780827443</v>
      </c>
      <c r="AE253" s="538">
        <f t="shared" si="167"/>
        <v>0.15087627019824068</v>
      </c>
      <c r="AF253" s="538">
        <f t="shared" si="167"/>
        <v>0.15183625486409058</v>
      </c>
      <c r="AG253" s="538">
        <f t="shared" si="167"/>
        <v>0.14727520387216697</v>
      </c>
      <c r="AH253" s="538">
        <f t="shared" si="167"/>
        <v>0.14795923576691195</v>
      </c>
      <c r="AI253" s="538">
        <f t="shared" si="167"/>
        <v>0.14855787108093854</v>
      </c>
      <c r="AJ253" s="538">
        <f t="shared" si="167"/>
        <v>0.14908118590578856</v>
      </c>
      <c r="AK253" s="539">
        <f t="shared" si="167"/>
        <v>0.1495382104200198</v>
      </c>
      <c r="AL253" s="539">
        <f t="shared" si="183"/>
        <v>0.14812933827835023</v>
      </c>
      <c r="AN253" s="566">
        <f t="shared" si="184"/>
        <v>9.5229776220917328E-2</v>
      </c>
      <c r="AO253" s="538">
        <f t="shared" si="185"/>
        <v>0.10958493058314533</v>
      </c>
      <c r="AP253" s="538">
        <f t="shared" si="186"/>
        <v>0.11083235806425185</v>
      </c>
      <c r="AQ253" s="538">
        <f t="shared" si="187"/>
        <v>0.1119577489838075</v>
      </c>
      <c r="AR253" s="538">
        <f t="shared" si="188"/>
        <v>0.11288527040008756</v>
      </c>
      <c r="AS253" s="538">
        <f t="shared" si="189"/>
        <v>0.11385942123511361</v>
      </c>
      <c r="AT253" s="538">
        <f t="shared" si="190"/>
        <v>0.11452352987078829</v>
      </c>
      <c r="AU253" s="538">
        <f t="shared" si="191"/>
        <v>0.11510472920479464</v>
      </c>
      <c r="AV253" s="538">
        <f t="shared" si="192"/>
        <v>0.11561280185028022</v>
      </c>
      <c r="AW253" s="539">
        <f t="shared" si="193"/>
        <v>0.11605651497089298</v>
      </c>
      <c r="AX253" s="569">
        <f t="shared" si="194"/>
        <v>0.11156470813840794</v>
      </c>
    </row>
    <row r="254" spans="1:50">
      <c r="A254" s="372" t="s">
        <v>1236</v>
      </c>
      <c r="C254" s="421">
        <f>SUM(C255:C265)</f>
        <v>1839608</v>
      </c>
      <c r="D254" s="421">
        <f t="shared" ref="D254:L254" si="208">SUM(D255:D265)</f>
        <v>2898151.6773949759</v>
      </c>
      <c r="E254" s="421">
        <f>SUM(E255:E265)</f>
        <v>4186715.2380367205</v>
      </c>
      <c r="F254" s="421">
        <f t="shared" si="208"/>
        <v>5665132.3591098711</v>
      </c>
      <c r="G254" s="421">
        <f t="shared" si="208"/>
        <v>7315471.9577772738</v>
      </c>
      <c r="H254" s="421">
        <f t="shared" si="208"/>
        <v>9154881.7683550045</v>
      </c>
      <c r="I254" s="421">
        <f t="shared" si="208"/>
        <v>11105012.881096505</v>
      </c>
      <c r="J254" s="421">
        <f t="shared" si="208"/>
        <v>13222656.382484827</v>
      </c>
      <c r="K254" s="421">
        <f t="shared" si="208"/>
        <v>15500374.863835305</v>
      </c>
      <c r="L254" s="421">
        <f t="shared" si="208"/>
        <v>17924433.743436679</v>
      </c>
      <c r="M254" s="421">
        <f>SUM(M255:M265)</f>
        <v>20472470.503135964</v>
      </c>
      <c r="N254" s="393"/>
      <c r="O254" s="566">
        <f t="shared" si="170"/>
        <v>0.38172714388577283</v>
      </c>
      <c r="P254" s="538">
        <f t="shared" si="171"/>
        <v>0.52977964242261355</v>
      </c>
      <c r="Q254" s="538">
        <f t="shared" si="172"/>
        <v>0.66548561495292757</v>
      </c>
      <c r="R254" s="538">
        <f t="shared" si="173"/>
        <v>0.78235553032365646</v>
      </c>
      <c r="S254" s="538">
        <f t="shared" si="174"/>
        <v>0.87782472711679416</v>
      </c>
      <c r="T254" s="538">
        <f t="shared" si="175"/>
        <v>0.95373441911799717</v>
      </c>
      <c r="U254" s="538">
        <f t="shared" si="176"/>
        <v>1.0083845326602292</v>
      </c>
      <c r="V254" s="538">
        <f t="shared" si="177"/>
        <v>1.0459221358609856</v>
      </c>
      <c r="W254" s="538">
        <f t="shared" si="178"/>
        <v>1.0675051070146053</v>
      </c>
      <c r="X254" s="538">
        <f t="shared" si="179"/>
        <v>1.074292368760265</v>
      </c>
      <c r="Y254" s="539">
        <f t="shared" si="180"/>
        <v>1.0673918647516498</v>
      </c>
      <c r="Z254" s="569">
        <f t="shared" si="181"/>
        <v>0.85949118971522698</v>
      </c>
      <c r="AB254" s="566">
        <f t="shared" si="182"/>
        <v>0.5754180659113115</v>
      </c>
      <c r="AC254" s="538">
        <f t="shared" si="182"/>
        <v>0.44461563923389247</v>
      </c>
      <c r="AD254" s="538">
        <f t="shared" si="182"/>
        <v>0.35312101182368116</v>
      </c>
      <c r="AE254" s="538">
        <f t="shared" si="182"/>
        <v>0.29131527633481635</v>
      </c>
      <c r="AF254" s="538">
        <f t="shared" si="182"/>
        <v>0.25144103089920322</v>
      </c>
      <c r="AG254" s="538">
        <f t="shared" si="182"/>
        <v>0.21301543396031319</v>
      </c>
      <c r="AH254" s="538">
        <f t="shared" si="182"/>
        <v>0.1906925749715318</v>
      </c>
      <c r="AI254" s="538">
        <f t="shared" si="182"/>
        <v>0.17225876673068652</v>
      </c>
      <c r="AJ254" s="538">
        <f t="shared" si="182"/>
        <v>0.15638711327279364</v>
      </c>
      <c r="AK254" s="539">
        <f t="shared" si="182"/>
        <v>0.14215437966804889</v>
      </c>
      <c r="AL254" s="539">
        <f t="shared" si="183"/>
        <v>0.27904192928062777</v>
      </c>
      <c r="AN254" s="566">
        <f t="shared" si="184"/>
        <v>0.52001357123962699</v>
      </c>
      <c r="AO254" s="538">
        <f t="shared" si="185"/>
        <v>0.39381122025557658</v>
      </c>
      <c r="AP254" s="538">
        <f t="shared" si="186"/>
        <v>0.30591228280044525</v>
      </c>
      <c r="AQ254" s="538">
        <f t="shared" si="187"/>
        <v>0.24764760998532998</v>
      </c>
      <c r="AR254" s="538">
        <f t="shared" si="188"/>
        <v>0.20912176898473755</v>
      </c>
      <c r="AS254" s="538">
        <f t="shared" si="189"/>
        <v>0.17768488734010979</v>
      </c>
      <c r="AT254" s="538">
        <f t="shared" si="190"/>
        <v>0.15601220871022492</v>
      </c>
      <c r="AU254" s="538">
        <f t="shared" si="191"/>
        <v>0.13811530750552081</v>
      </c>
      <c r="AV254" s="538">
        <f t="shared" si="192"/>
        <v>0.12270593521630446</v>
      </c>
      <c r="AW254" s="539">
        <f t="shared" si="193"/>
        <v>0.10888774725053296</v>
      </c>
      <c r="AX254" s="569">
        <f t="shared" si="194"/>
        <v>0.23799125392884085</v>
      </c>
    </row>
    <row r="255" spans="1:50">
      <c r="A255" s="363" t="s">
        <v>304</v>
      </c>
      <c r="C255" s="421">
        <f>'ANTONIO ARAUJO &amp; CIA'!L32</f>
        <v>102083</v>
      </c>
      <c r="D255" s="421">
        <f>D147</f>
        <v>1096764.2097666615</v>
      </c>
      <c r="E255" s="421">
        <f>E147</f>
        <v>2294866.2800166616</v>
      </c>
      <c r="F255" s="421">
        <f t="shared" ref="F255:M255" si="209">F147</f>
        <v>3519779.7778787161</v>
      </c>
      <c r="G255" s="421">
        <f t="shared" si="209"/>
        <v>4879044.6327631837</v>
      </c>
      <c r="H255" s="421">
        <f t="shared" si="209"/>
        <v>6380704.6259201579</v>
      </c>
      <c r="I255" s="421">
        <f t="shared" si="209"/>
        <v>7957152.4274273561</v>
      </c>
      <c r="J255" s="421">
        <f t="shared" si="209"/>
        <v>9640424.1975026261</v>
      </c>
      <c r="K255" s="421">
        <f t="shared" si="209"/>
        <v>11417484.162617039</v>
      </c>
      <c r="L255" s="421">
        <f t="shared" si="209"/>
        <v>13264482.12455238</v>
      </c>
      <c r="M255" s="421">
        <f t="shared" si="209"/>
        <v>15147396.266941477</v>
      </c>
      <c r="N255" s="393"/>
      <c r="O255" s="566">
        <f t="shared" si="170"/>
        <v>2.1182693285358267E-2</v>
      </c>
      <c r="P255" s="538">
        <f t="shared" si="171"/>
        <v>0.20048755743328697</v>
      </c>
      <c r="Q255" s="538">
        <f t="shared" si="172"/>
        <v>0.3647729570229325</v>
      </c>
      <c r="R255" s="538">
        <f t="shared" si="173"/>
        <v>0.48608205425538559</v>
      </c>
      <c r="S255" s="538">
        <f t="shared" si="174"/>
        <v>0.58546407505433551</v>
      </c>
      <c r="T255" s="538">
        <f t="shared" si="175"/>
        <v>0.66472705753565964</v>
      </c>
      <c r="U255" s="538">
        <f t="shared" si="176"/>
        <v>0.72254481086610589</v>
      </c>
      <c r="V255" s="538">
        <f t="shared" si="177"/>
        <v>0.762564856530215</v>
      </c>
      <c r="W255" s="538">
        <f t="shared" si="178"/>
        <v>0.78631792843210602</v>
      </c>
      <c r="X255" s="538">
        <f t="shared" si="179"/>
        <v>0.79500039588036708</v>
      </c>
      <c r="Y255" s="539">
        <f t="shared" si="180"/>
        <v>0.78975361303005431</v>
      </c>
      <c r="Z255" s="569">
        <f t="shared" si="181"/>
        <v>0.56171799993870974</v>
      </c>
      <c r="AB255" s="566">
        <f t="shared" si="182"/>
        <v>9.743847749053824</v>
      </c>
      <c r="AC255" s="538">
        <f t="shared" si="182"/>
        <v>1.0923971256364196</v>
      </c>
      <c r="AD255" s="538">
        <f t="shared" si="182"/>
        <v>0.53376247170844349</v>
      </c>
      <c r="AE255" s="538">
        <f t="shared" si="182"/>
        <v>0.38617894887266568</v>
      </c>
      <c r="AF255" s="538">
        <f t="shared" si="182"/>
        <v>0.30777746591478272</v>
      </c>
      <c r="AG255" s="538">
        <f t="shared" si="182"/>
        <v>0.24706484533122541</v>
      </c>
      <c r="AH255" s="538">
        <f t="shared" si="182"/>
        <v>0.21154197879548375</v>
      </c>
      <c r="AI255" s="538">
        <f t="shared" si="182"/>
        <v>0.18433420861031857</v>
      </c>
      <c r="AJ255" s="538">
        <f t="shared" si="182"/>
        <v>0.1617692598149385</v>
      </c>
      <c r="AK255" s="539">
        <f t="shared" si="182"/>
        <v>0.14195157599887342</v>
      </c>
      <c r="AL255" s="539">
        <f t="shared" si="183"/>
        <v>1.3010625629736976</v>
      </c>
      <c r="AN255" s="566">
        <f t="shared" si="184"/>
        <v>9.3660068011518387</v>
      </c>
      <c r="AO255" s="538">
        <f t="shared" si="185"/>
        <v>1.0188114483442705</v>
      </c>
      <c r="AP255" s="538">
        <f t="shared" si="186"/>
        <v>0.4802513841706737</v>
      </c>
      <c r="AQ255" s="538">
        <f t="shared" si="187"/>
        <v>0.33930333224412146</v>
      </c>
      <c r="AR255" s="538">
        <f t="shared" si="188"/>
        <v>0.26355310716404134</v>
      </c>
      <c r="AS255" s="538">
        <f t="shared" si="189"/>
        <v>0.21074256828274307</v>
      </c>
      <c r="AT255" s="538">
        <f t="shared" si="190"/>
        <v>0.17625434834512976</v>
      </c>
      <c r="AU255" s="538">
        <f t="shared" si="191"/>
        <v>0.14983903748574612</v>
      </c>
      <c r="AV255" s="538">
        <f t="shared" si="192"/>
        <v>0.12793132020867803</v>
      </c>
      <c r="AW255" s="539">
        <f t="shared" si="193"/>
        <v>0.10869085048434313</v>
      </c>
      <c r="AX255" s="569">
        <f t="shared" si="194"/>
        <v>1.2241384197881584</v>
      </c>
    </row>
    <row r="256" spans="1:50" ht="15.75" customHeight="1">
      <c r="A256" s="363" t="s">
        <v>305</v>
      </c>
      <c r="C256" s="421">
        <f>'ANTONIO ARAUJO &amp; CIA'!L33</f>
        <v>1436066</v>
      </c>
      <c r="D256" s="421">
        <f t="shared" ref="D256:M256" si="210">D115</f>
        <v>1499928.4676283142</v>
      </c>
      <c r="E256" s="421">
        <f t="shared" si="210"/>
        <v>1590389.9580200589</v>
      </c>
      <c r="F256" s="421">
        <f t="shared" si="210"/>
        <v>1843893.5812311554</v>
      </c>
      <c r="G256" s="421">
        <f t="shared" si="210"/>
        <v>2134968.3250140902</v>
      </c>
      <c r="H256" s="421">
        <f t="shared" si="210"/>
        <v>2472718.1424348457</v>
      </c>
      <c r="I256" s="421">
        <f t="shared" si="210"/>
        <v>2846401.4536691476</v>
      </c>
      <c r="J256" s="421">
        <f t="shared" si="210"/>
        <v>3280773.184982202</v>
      </c>
      <c r="K256" s="421">
        <f t="shared" si="210"/>
        <v>3781431.7012182651</v>
      </c>
      <c r="L256" s="421">
        <f t="shared" si="210"/>
        <v>4358492.618884299</v>
      </c>
      <c r="M256" s="421">
        <f t="shared" si="210"/>
        <v>5023615.2361944858</v>
      </c>
      <c r="N256" s="393"/>
      <c r="O256" s="566">
        <f t="shared" si="170"/>
        <v>0.29799031783481389</v>
      </c>
      <c r="P256" s="538">
        <f t="shared" si="171"/>
        <v>0.27418563819057501</v>
      </c>
      <c r="Q256" s="538">
        <f t="shared" si="172"/>
        <v>0.25279522944680788</v>
      </c>
      <c r="R256" s="538">
        <f t="shared" si="173"/>
        <v>0.25464194817703273</v>
      </c>
      <c r="S256" s="538">
        <f t="shared" si="174"/>
        <v>0.2561868869329828</v>
      </c>
      <c r="T256" s="538">
        <f t="shared" si="175"/>
        <v>0.25760205985067403</v>
      </c>
      <c r="U256" s="538">
        <f t="shared" si="176"/>
        <v>0.25846590457427293</v>
      </c>
      <c r="V256" s="538">
        <f t="shared" si="177"/>
        <v>0.25951164407912952</v>
      </c>
      <c r="W256" s="538">
        <f t="shared" si="178"/>
        <v>0.26042580830065248</v>
      </c>
      <c r="X256" s="538">
        <f t="shared" si="179"/>
        <v>0.261224171808487</v>
      </c>
      <c r="Y256" s="539">
        <f t="shared" si="180"/>
        <v>0.26192080891922925</v>
      </c>
      <c r="Z256" s="569">
        <f t="shared" si="181"/>
        <v>0.26317731073769618</v>
      </c>
      <c r="AB256" s="566">
        <f t="shared" si="182"/>
        <v>4.4470426587854606E-2</v>
      </c>
      <c r="AC256" s="538">
        <f t="shared" si="182"/>
        <v>6.0310536364965639E-2</v>
      </c>
      <c r="AD256" s="538">
        <f t="shared" si="182"/>
        <v>0.15939714780813463</v>
      </c>
      <c r="AE256" s="538">
        <f t="shared" si="182"/>
        <v>0.15785875429350216</v>
      </c>
      <c r="AF256" s="538">
        <f t="shared" si="182"/>
        <v>0.15819898284370404</v>
      </c>
      <c r="AG256" s="538">
        <f t="shared" si="182"/>
        <v>0.15112248534171457</v>
      </c>
      <c r="AH256" s="538">
        <f t="shared" si="182"/>
        <v>0.15260381867537642</v>
      </c>
      <c r="AI256" s="538">
        <f t="shared" si="182"/>
        <v>0.15260381867537709</v>
      </c>
      <c r="AJ256" s="538">
        <f t="shared" si="182"/>
        <v>0.15260381867537687</v>
      </c>
      <c r="AK256" s="539">
        <f t="shared" si="182"/>
        <v>0.15260381867537665</v>
      </c>
      <c r="AL256" s="539">
        <f t="shared" si="183"/>
        <v>0.13417736079413828</v>
      </c>
      <c r="AN256" s="566">
        <f t="shared" si="184"/>
        <v>7.7383632474836705E-3</v>
      </c>
      <c r="AO256" s="538">
        <f t="shared" si="185"/>
        <v>2.3021406112176734E-2</v>
      </c>
      <c r="AP256" s="538">
        <f t="shared" si="186"/>
        <v>0.11894720630037625</v>
      </c>
      <c r="AQ256" s="538">
        <f t="shared" si="187"/>
        <v>0.11870411042850448</v>
      </c>
      <c r="AR256" s="538">
        <f t="shared" si="188"/>
        <v>0.11903283366541473</v>
      </c>
      <c r="AS256" s="538">
        <f t="shared" si="189"/>
        <v>0.11759464596282965</v>
      </c>
      <c r="AT256" s="538">
        <f t="shared" si="190"/>
        <v>0.11903283366541406</v>
      </c>
      <c r="AU256" s="538">
        <f t="shared" si="191"/>
        <v>0.11903283366541473</v>
      </c>
      <c r="AV256" s="538">
        <f t="shared" si="192"/>
        <v>0.11903283366541451</v>
      </c>
      <c r="AW256" s="539">
        <f t="shared" si="193"/>
        <v>0.11903283366541428</v>
      </c>
      <c r="AX256" s="569">
        <f t="shared" si="194"/>
        <v>9.8116990037844312E-2</v>
      </c>
    </row>
    <row r="257" spans="1:50" ht="15.75" customHeight="1">
      <c r="A257" s="373" t="s">
        <v>1225</v>
      </c>
      <c r="C257" s="421">
        <f>'ANTONIO ARAUJO &amp; CIA'!L35</f>
        <v>6139</v>
      </c>
      <c r="D257" s="421">
        <f t="shared" ref="D257:D265" si="211">C257</f>
        <v>6139</v>
      </c>
      <c r="E257" s="421">
        <f t="shared" ref="E257:M257" si="212">D257</f>
        <v>6139</v>
      </c>
      <c r="F257" s="421">
        <f t="shared" si="212"/>
        <v>6139</v>
      </c>
      <c r="G257" s="421">
        <f t="shared" si="212"/>
        <v>6139</v>
      </c>
      <c r="H257" s="421">
        <f t="shared" si="212"/>
        <v>6139</v>
      </c>
      <c r="I257" s="421">
        <f t="shared" si="212"/>
        <v>6139</v>
      </c>
      <c r="J257" s="421">
        <f t="shared" si="212"/>
        <v>6139</v>
      </c>
      <c r="K257" s="421">
        <f t="shared" si="212"/>
        <v>6139</v>
      </c>
      <c r="L257" s="421">
        <f t="shared" si="212"/>
        <v>6139</v>
      </c>
      <c r="M257" s="421">
        <f t="shared" si="212"/>
        <v>6139</v>
      </c>
      <c r="N257" s="393"/>
      <c r="O257" s="566">
        <f t="shared" si="170"/>
        <v>1.2738708117787918E-3</v>
      </c>
      <c r="P257" s="538">
        <f t="shared" si="171"/>
        <v>1.1222039378407525E-3</v>
      </c>
      <c r="Q257" s="538">
        <f t="shared" si="172"/>
        <v>9.7580464825494065E-4</v>
      </c>
      <c r="R257" s="538">
        <f t="shared" si="173"/>
        <v>8.4779671439337307E-4</v>
      </c>
      <c r="S257" s="538">
        <f t="shared" si="174"/>
        <v>7.3665322358878636E-4</v>
      </c>
      <c r="T257" s="538">
        <f t="shared" si="175"/>
        <v>6.3954682836034435E-4</v>
      </c>
      <c r="U257" s="538">
        <f t="shared" si="176"/>
        <v>5.5744848855951109E-4</v>
      </c>
      <c r="V257" s="538">
        <f t="shared" si="177"/>
        <v>4.8559955022017739E-4</v>
      </c>
      <c r="W257" s="538">
        <f t="shared" si="178"/>
        <v>4.2279066858265201E-4</v>
      </c>
      <c r="X257" s="538">
        <f t="shared" si="179"/>
        <v>3.6793803063564907E-4</v>
      </c>
      <c r="Y257" s="539">
        <f t="shared" si="180"/>
        <v>3.2007464153906758E-4</v>
      </c>
      <c r="Z257" s="569">
        <f t="shared" si="181"/>
        <v>7.045206857958223E-4</v>
      </c>
      <c r="AB257" s="566">
        <f t="shared" si="182"/>
        <v>0</v>
      </c>
      <c r="AC257" s="538">
        <f t="shared" si="182"/>
        <v>0</v>
      </c>
      <c r="AD257" s="538">
        <f t="shared" si="182"/>
        <v>0</v>
      </c>
      <c r="AE257" s="538">
        <f t="shared" si="182"/>
        <v>0</v>
      </c>
      <c r="AF257" s="538">
        <f t="shared" si="182"/>
        <v>0</v>
      </c>
      <c r="AG257" s="538">
        <f t="shared" si="182"/>
        <v>0</v>
      </c>
      <c r="AH257" s="538">
        <f t="shared" si="182"/>
        <v>0</v>
      </c>
      <c r="AI257" s="538">
        <f t="shared" si="182"/>
        <v>0</v>
      </c>
      <c r="AJ257" s="538">
        <f t="shared" si="182"/>
        <v>0</v>
      </c>
      <c r="AK257" s="539">
        <f t="shared" si="182"/>
        <v>0</v>
      </c>
      <c r="AL257" s="539">
        <f t="shared" si="183"/>
        <v>0</v>
      </c>
      <c r="AN257" s="566">
        <f t="shared" si="184"/>
        <v>-3.5168121954749498E-2</v>
      </c>
      <c r="AO257" s="538">
        <f t="shared" si="185"/>
        <v>-3.5168121954749498E-2</v>
      </c>
      <c r="AP257" s="538">
        <f t="shared" si="186"/>
        <v>-3.4888770930849744E-2</v>
      </c>
      <c r="AQ257" s="538">
        <f t="shared" si="187"/>
        <v>-3.3816425120772875E-2</v>
      </c>
      <c r="AR257" s="538">
        <f t="shared" si="188"/>
        <v>-3.3816425120772875E-2</v>
      </c>
      <c r="AS257" s="538">
        <f t="shared" si="189"/>
        <v>-2.9126213592232997E-2</v>
      </c>
      <c r="AT257" s="538">
        <f t="shared" si="190"/>
        <v>-2.9126213592232997E-2</v>
      </c>
      <c r="AU257" s="538">
        <f t="shared" si="191"/>
        <v>-2.9126213592232997E-2</v>
      </c>
      <c r="AV257" s="538">
        <f t="shared" si="192"/>
        <v>-2.9126213592232997E-2</v>
      </c>
      <c r="AW257" s="539">
        <f t="shared" si="193"/>
        <v>-2.9126213592232997E-2</v>
      </c>
      <c r="AX257" s="569">
        <f t="shared" si="194"/>
        <v>-3.1848893304305945E-2</v>
      </c>
    </row>
    <row r="258" spans="1:50" ht="15.75" customHeight="1">
      <c r="A258" s="373" t="s">
        <v>1226</v>
      </c>
      <c r="C258" s="421">
        <f>'ANTONIO ARAUJO &amp; CIA'!L36</f>
        <v>6643</v>
      </c>
      <c r="D258" s="421">
        <f t="shared" si="211"/>
        <v>6643</v>
      </c>
      <c r="E258" s="421">
        <f t="shared" ref="E258:M258" si="213">D258</f>
        <v>6643</v>
      </c>
      <c r="F258" s="421">
        <f t="shared" si="213"/>
        <v>6643</v>
      </c>
      <c r="G258" s="421">
        <f t="shared" si="213"/>
        <v>6643</v>
      </c>
      <c r="H258" s="421">
        <f t="shared" si="213"/>
        <v>6643</v>
      </c>
      <c r="I258" s="421">
        <f t="shared" si="213"/>
        <v>6643</v>
      </c>
      <c r="J258" s="421">
        <f t="shared" si="213"/>
        <v>6643</v>
      </c>
      <c r="K258" s="421">
        <f t="shared" si="213"/>
        <v>6643</v>
      </c>
      <c r="L258" s="421">
        <f t="shared" si="213"/>
        <v>6643</v>
      </c>
      <c r="M258" s="421">
        <f t="shared" si="213"/>
        <v>6643</v>
      </c>
      <c r="N258" s="393"/>
      <c r="O258" s="566">
        <f t="shared" si="170"/>
        <v>1.3784531361209502E-3</v>
      </c>
      <c r="P258" s="538">
        <f t="shared" si="171"/>
        <v>1.2143347058276787E-3</v>
      </c>
      <c r="Q258" s="538">
        <f t="shared" si="172"/>
        <v>1.0559163183511274E-3</v>
      </c>
      <c r="R258" s="538">
        <f t="shared" si="173"/>
        <v>9.1739918125349036E-4</v>
      </c>
      <c r="S258" s="538">
        <f t="shared" si="174"/>
        <v>7.9713102529732985E-4</v>
      </c>
      <c r="T258" s="538">
        <f t="shared" si="175"/>
        <v>6.920523832542381E-4</v>
      </c>
      <c r="U258" s="538">
        <f t="shared" si="176"/>
        <v>6.0321392889735E-4</v>
      </c>
      <c r="V258" s="538">
        <f t="shared" si="177"/>
        <v>5.2546633199423987E-4</v>
      </c>
      <c r="W258" s="538">
        <f t="shared" si="178"/>
        <v>4.5750096292467132E-4</v>
      </c>
      <c r="X258" s="538">
        <f t="shared" si="179"/>
        <v>3.9814502973002392E-4</v>
      </c>
      <c r="Y258" s="539">
        <f t="shared" si="180"/>
        <v>3.463521491682727E-4</v>
      </c>
      <c r="Z258" s="569">
        <f t="shared" si="181"/>
        <v>7.6236046843812478E-4</v>
      </c>
      <c r="AB258" s="566">
        <f t="shared" si="182"/>
        <v>0</v>
      </c>
      <c r="AC258" s="538">
        <f t="shared" si="182"/>
        <v>0</v>
      </c>
      <c r="AD258" s="538">
        <f t="shared" si="182"/>
        <v>0</v>
      </c>
      <c r="AE258" s="538">
        <f t="shared" si="182"/>
        <v>0</v>
      </c>
      <c r="AF258" s="538">
        <f t="shared" si="182"/>
        <v>0</v>
      </c>
      <c r="AG258" s="538">
        <f t="shared" si="182"/>
        <v>0</v>
      </c>
      <c r="AH258" s="538">
        <f t="shared" si="182"/>
        <v>0</v>
      </c>
      <c r="AI258" s="538">
        <f t="shared" si="182"/>
        <v>0</v>
      </c>
      <c r="AJ258" s="538">
        <f t="shared" si="182"/>
        <v>0</v>
      </c>
      <c r="AK258" s="539">
        <f t="shared" si="182"/>
        <v>0</v>
      </c>
      <c r="AL258" s="539">
        <f t="shared" si="183"/>
        <v>0</v>
      </c>
      <c r="AN258" s="566">
        <f t="shared" si="184"/>
        <v>-3.5168121954749498E-2</v>
      </c>
      <c r="AO258" s="538">
        <f t="shared" si="185"/>
        <v>-3.5168121954749498E-2</v>
      </c>
      <c r="AP258" s="538">
        <f t="shared" si="186"/>
        <v>-3.4888770930849744E-2</v>
      </c>
      <c r="AQ258" s="538">
        <f t="shared" si="187"/>
        <v>-3.3816425120772875E-2</v>
      </c>
      <c r="AR258" s="538">
        <f t="shared" si="188"/>
        <v>-3.3816425120772875E-2</v>
      </c>
      <c r="AS258" s="538">
        <f t="shared" si="189"/>
        <v>-2.9126213592232997E-2</v>
      </c>
      <c r="AT258" s="538">
        <f t="shared" si="190"/>
        <v>-2.9126213592232997E-2</v>
      </c>
      <c r="AU258" s="538">
        <f t="shared" si="191"/>
        <v>-2.9126213592232997E-2</v>
      </c>
      <c r="AV258" s="538">
        <f t="shared" si="192"/>
        <v>-2.9126213592232997E-2</v>
      </c>
      <c r="AW258" s="539">
        <f t="shared" si="193"/>
        <v>-2.9126213592232997E-2</v>
      </c>
      <c r="AX258" s="569">
        <f t="shared" si="194"/>
        <v>-3.1848893304305945E-2</v>
      </c>
    </row>
    <row r="259" spans="1:50" ht="15.75" customHeight="1">
      <c r="A259" s="373" t="s">
        <v>1227</v>
      </c>
      <c r="C259" s="421">
        <f>'ANTONIO ARAUJO &amp; CIA'!L37</f>
        <v>980</v>
      </c>
      <c r="D259" s="421">
        <f t="shared" si="211"/>
        <v>980</v>
      </c>
      <c r="E259" s="421">
        <f t="shared" ref="E259:M259" si="214">D259</f>
        <v>980</v>
      </c>
      <c r="F259" s="421">
        <f t="shared" si="214"/>
        <v>980</v>
      </c>
      <c r="G259" s="421">
        <f t="shared" si="214"/>
        <v>980</v>
      </c>
      <c r="H259" s="421">
        <f t="shared" si="214"/>
        <v>980</v>
      </c>
      <c r="I259" s="421">
        <f t="shared" si="214"/>
        <v>980</v>
      </c>
      <c r="J259" s="421">
        <f t="shared" si="214"/>
        <v>980</v>
      </c>
      <c r="K259" s="421">
        <f t="shared" si="214"/>
        <v>980</v>
      </c>
      <c r="L259" s="421">
        <f t="shared" si="214"/>
        <v>980</v>
      </c>
      <c r="M259" s="421">
        <f t="shared" si="214"/>
        <v>980</v>
      </c>
      <c r="N259" s="393"/>
      <c r="O259" s="566">
        <f t="shared" si="170"/>
        <v>2.033545195541971E-4</v>
      </c>
      <c r="P259" s="538">
        <f t="shared" si="171"/>
        <v>1.7914315997457852E-4</v>
      </c>
      <c r="Q259" s="538">
        <f t="shared" si="172"/>
        <v>1.5577269185369633E-4</v>
      </c>
      <c r="R259" s="538">
        <f t="shared" si="173"/>
        <v>1.3533813000578363E-4</v>
      </c>
      <c r="S259" s="538">
        <f t="shared" si="174"/>
        <v>1.1759572554439007E-4</v>
      </c>
      <c r="T259" s="538">
        <f t="shared" si="175"/>
        <v>1.0209413451590447E-4</v>
      </c>
      <c r="U259" s="538">
        <f t="shared" si="176"/>
        <v>8.8988356212464699E-5</v>
      </c>
      <c r="V259" s="538">
        <f t="shared" si="177"/>
        <v>7.7518742338454771E-5</v>
      </c>
      <c r="W259" s="538">
        <f t="shared" si="178"/>
        <v>6.7492238998370895E-5</v>
      </c>
      <c r="X259" s="538">
        <f t="shared" si="179"/>
        <v>5.8735831572395524E-5</v>
      </c>
      <c r="Y259" s="539">
        <f t="shared" si="180"/>
        <v>5.1095153723454347E-5</v>
      </c>
      <c r="Z259" s="569">
        <f t="shared" si="181"/>
        <v>1.1246624402669912E-4</v>
      </c>
      <c r="AB259" s="566">
        <f t="shared" si="182"/>
        <v>0</v>
      </c>
      <c r="AC259" s="538">
        <f t="shared" si="182"/>
        <v>0</v>
      </c>
      <c r="AD259" s="538">
        <f t="shared" si="182"/>
        <v>0</v>
      </c>
      <c r="AE259" s="538">
        <f t="shared" si="182"/>
        <v>0</v>
      </c>
      <c r="AF259" s="538">
        <f t="shared" si="182"/>
        <v>0</v>
      </c>
      <c r="AG259" s="538">
        <f t="shared" si="182"/>
        <v>0</v>
      </c>
      <c r="AH259" s="538">
        <f t="shared" si="182"/>
        <v>0</v>
      </c>
      <c r="AI259" s="538">
        <f t="shared" si="182"/>
        <v>0</v>
      </c>
      <c r="AJ259" s="538">
        <f t="shared" si="182"/>
        <v>0</v>
      </c>
      <c r="AK259" s="539">
        <f t="shared" si="182"/>
        <v>0</v>
      </c>
      <c r="AL259" s="539">
        <f t="shared" si="183"/>
        <v>0</v>
      </c>
      <c r="AN259" s="566">
        <f t="shared" si="184"/>
        <v>-3.5168121954749498E-2</v>
      </c>
      <c r="AO259" s="538">
        <f t="shared" si="185"/>
        <v>-3.5168121954749498E-2</v>
      </c>
      <c r="AP259" s="538">
        <f t="shared" si="186"/>
        <v>-3.4888770930849744E-2</v>
      </c>
      <c r="AQ259" s="538">
        <f t="shared" si="187"/>
        <v>-3.3816425120772875E-2</v>
      </c>
      <c r="AR259" s="538">
        <f t="shared" si="188"/>
        <v>-3.3816425120772875E-2</v>
      </c>
      <c r="AS259" s="538">
        <f t="shared" si="189"/>
        <v>-2.9126213592232997E-2</v>
      </c>
      <c r="AT259" s="538">
        <f t="shared" si="190"/>
        <v>-2.9126213592232997E-2</v>
      </c>
      <c r="AU259" s="538">
        <f t="shared" si="191"/>
        <v>-2.9126213592232997E-2</v>
      </c>
      <c r="AV259" s="538">
        <f t="shared" si="192"/>
        <v>-2.9126213592232997E-2</v>
      </c>
      <c r="AW259" s="539">
        <f t="shared" si="193"/>
        <v>-2.9126213592232997E-2</v>
      </c>
      <c r="AX259" s="569">
        <f t="shared" si="194"/>
        <v>-3.1848893304305945E-2</v>
      </c>
    </row>
    <row r="260" spans="1:50" ht="15.75" customHeight="1">
      <c r="A260" s="373" t="s">
        <v>1224</v>
      </c>
      <c r="C260" s="421">
        <f>'ANTONIO ARAUJO &amp; CIA'!L38</f>
        <v>6931</v>
      </c>
      <c r="D260" s="421">
        <f t="shared" si="211"/>
        <v>6931</v>
      </c>
      <c r="E260" s="421">
        <f t="shared" ref="E260:M260" si="215">D260</f>
        <v>6931</v>
      </c>
      <c r="F260" s="421">
        <f t="shared" si="215"/>
        <v>6931</v>
      </c>
      <c r="G260" s="421">
        <f t="shared" si="215"/>
        <v>6931</v>
      </c>
      <c r="H260" s="421">
        <f t="shared" si="215"/>
        <v>6931</v>
      </c>
      <c r="I260" s="421">
        <f t="shared" si="215"/>
        <v>6931</v>
      </c>
      <c r="J260" s="421">
        <f t="shared" si="215"/>
        <v>6931</v>
      </c>
      <c r="K260" s="421">
        <f t="shared" si="215"/>
        <v>6931</v>
      </c>
      <c r="L260" s="421">
        <f t="shared" si="215"/>
        <v>6931</v>
      </c>
      <c r="M260" s="421">
        <f t="shared" si="215"/>
        <v>6931</v>
      </c>
      <c r="N260" s="393"/>
      <c r="O260" s="566">
        <f t="shared" si="170"/>
        <v>1.4382144643164693E-3</v>
      </c>
      <c r="P260" s="538">
        <f t="shared" si="171"/>
        <v>1.266980858963065E-3</v>
      </c>
      <c r="Q260" s="538">
        <f t="shared" si="172"/>
        <v>1.1016944155489484E-3</v>
      </c>
      <c r="R260" s="538">
        <f t="shared" si="173"/>
        <v>9.5717201945927171E-4</v>
      </c>
      <c r="S260" s="538">
        <f t="shared" si="174"/>
        <v>8.316897691307833E-4</v>
      </c>
      <c r="T260" s="538">
        <f t="shared" si="175"/>
        <v>7.2205555747932029E-4</v>
      </c>
      <c r="U260" s="538">
        <f t="shared" si="176"/>
        <v>6.2936560909040084E-4</v>
      </c>
      <c r="V260" s="538">
        <f t="shared" si="177"/>
        <v>5.4824735015084698E-4</v>
      </c>
      <c r="W260" s="538">
        <f t="shared" si="178"/>
        <v>4.7733541683439665E-4</v>
      </c>
      <c r="X260" s="538">
        <f t="shared" si="179"/>
        <v>4.1540617206966667E-4</v>
      </c>
      <c r="Y260" s="539">
        <f t="shared" si="180"/>
        <v>3.6136786781353276E-4</v>
      </c>
      <c r="Z260" s="569">
        <f t="shared" si="181"/>
        <v>7.9541177280515471E-4</v>
      </c>
      <c r="AB260" s="566">
        <f t="shared" si="182"/>
        <v>0</v>
      </c>
      <c r="AC260" s="538">
        <f t="shared" si="182"/>
        <v>0</v>
      </c>
      <c r="AD260" s="538">
        <f t="shared" si="182"/>
        <v>0</v>
      </c>
      <c r="AE260" s="538">
        <f t="shared" si="182"/>
        <v>0</v>
      </c>
      <c r="AF260" s="538">
        <f t="shared" si="182"/>
        <v>0</v>
      </c>
      <c r="AG260" s="538">
        <f t="shared" si="182"/>
        <v>0</v>
      </c>
      <c r="AH260" s="538">
        <f t="shared" si="182"/>
        <v>0</v>
      </c>
      <c r="AI260" s="538">
        <f t="shared" si="182"/>
        <v>0</v>
      </c>
      <c r="AJ260" s="538">
        <f t="shared" si="182"/>
        <v>0</v>
      </c>
      <c r="AK260" s="539">
        <f t="shared" si="182"/>
        <v>0</v>
      </c>
      <c r="AL260" s="539">
        <f t="shared" si="183"/>
        <v>0</v>
      </c>
      <c r="AN260" s="566">
        <f t="shared" si="184"/>
        <v>-3.5168121954749498E-2</v>
      </c>
      <c r="AO260" s="538">
        <f t="shared" si="185"/>
        <v>-3.5168121954749498E-2</v>
      </c>
      <c r="AP260" s="538">
        <f t="shared" si="186"/>
        <v>-3.4888770930849744E-2</v>
      </c>
      <c r="AQ260" s="538">
        <f t="shared" si="187"/>
        <v>-3.3816425120772875E-2</v>
      </c>
      <c r="AR260" s="538">
        <f t="shared" si="188"/>
        <v>-3.3816425120772875E-2</v>
      </c>
      <c r="AS260" s="538">
        <f t="shared" si="189"/>
        <v>-2.9126213592232997E-2</v>
      </c>
      <c r="AT260" s="538">
        <f t="shared" si="190"/>
        <v>-2.9126213592232997E-2</v>
      </c>
      <c r="AU260" s="538">
        <f t="shared" si="191"/>
        <v>-2.9126213592232997E-2</v>
      </c>
      <c r="AV260" s="538">
        <f t="shared" si="192"/>
        <v>-2.9126213592232997E-2</v>
      </c>
      <c r="AW260" s="539">
        <f t="shared" si="193"/>
        <v>-2.9126213592232997E-2</v>
      </c>
      <c r="AX260" s="569">
        <f t="shared" si="194"/>
        <v>-3.1848893304305945E-2</v>
      </c>
    </row>
    <row r="261" spans="1:50" ht="15.75" customHeight="1">
      <c r="A261" s="373" t="s">
        <v>1228</v>
      </c>
      <c r="C261" s="421">
        <f>'ANTONIO ARAUJO &amp; CIA'!L39</f>
        <v>121375</v>
      </c>
      <c r="D261" s="421">
        <f t="shared" si="211"/>
        <v>121375</v>
      </c>
      <c r="E261" s="421">
        <f t="shared" ref="E261:M262" si="216">D261</f>
        <v>121375</v>
      </c>
      <c r="F261" s="421">
        <f t="shared" si="216"/>
        <v>121375</v>
      </c>
      <c r="G261" s="421">
        <f t="shared" si="216"/>
        <v>121375</v>
      </c>
      <c r="H261" s="421">
        <f t="shared" si="216"/>
        <v>121375</v>
      </c>
      <c r="I261" s="421">
        <f t="shared" si="216"/>
        <v>121375</v>
      </c>
      <c r="J261" s="421">
        <f t="shared" si="216"/>
        <v>121375</v>
      </c>
      <c r="K261" s="421">
        <f t="shared" si="216"/>
        <v>121375</v>
      </c>
      <c r="L261" s="421">
        <f t="shared" si="216"/>
        <v>121375</v>
      </c>
      <c r="M261" s="421">
        <f t="shared" si="216"/>
        <v>121375</v>
      </c>
      <c r="N261" s="393"/>
      <c r="O261" s="566">
        <f t="shared" si="170"/>
        <v>2.5185872256010891E-2</v>
      </c>
      <c r="P261" s="538">
        <f t="shared" si="171"/>
        <v>2.2187245961137213E-2</v>
      </c>
      <c r="Q261" s="538">
        <f t="shared" si="172"/>
        <v>1.9292765789533053E-2</v>
      </c>
      <c r="R261" s="538">
        <f t="shared" si="173"/>
        <v>1.676190360148162E-2</v>
      </c>
      <c r="S261" s="538">
        <f t="shared" si="174"/>
        <v>1.4564470599949333E-2</v>
      </c>
      <c r="T261" s="538">
        <f t="shared" si="175"/>
        <v>1.2644566915171331E-2</v>
      </c>
      <c r="U261" s="538">
        <f t="shared" si="176"/>
        <v>1.1021389525803983E-2</v>
      </c>
      <c r="V261" s="538">
        <f t="shared" si="177"/>
        <v>9.6008544401325994E-3</v>
      </c>
      <c r="W261" s="538">
        <f t="shared" si="178"/>
        <v>8.3590515392114977E-3</v>
      </c>
      <c r="X261" s="538">
        <f t="shared" si="179"/>
        <v>7.2745526092852109E-3</v>
      </c>
      <c r="Y261" s="539">
        <f t="shared" si="180"/>
        <v>6.328239064473746E-3</v>
      </c>
      <c r="Z261" s="569">
        <f t="shared" si="181"/>
        <v>1.392917384565368E-2</v>
      </c>
      <c r="AB261" s="566">
        <f t="shared" si="182"/>
        <v>0</v>
      </c>
      <c r="AC261" s="538">
        <f t="shared" si="182"/>
        <v>0</v>
      </c>
      <c r="AD261" s="538">
        <f t="shared" si="182"/>
        <v>0</v>
      </c>
      <c r="AE261" s="538">
        <f t="shared" si="182"/>
        <v>0</v>
      </c>
      <c r="AF261" s="538">
        <f t="shared" si="182"/>
        <v>0</v>
      </c>
      <c r="AG261" s="538">
        <f t="shared" si="182"/>
        <v>0</v>
      </c>
      <c r="AH261" s="538">
        <f t="shared" si="182"/>
        <v>0</v>
      </c>
      <c r="AI261" s="538">
        <f t="shared" si="182"/>
        <v>0</v>
      </c>
      <c r="AJ261" s="538">
        <f t="shared" si="182"/>
        <v>0</v>
      </c>
      <c r="AK261" s="539">
        <f t="shared" si="182"/>
        <v>0</v>
      </c>
      <c r="AL261" s="539">
        <f t="shared" si="183"/>
        <v>0</v>
      </c>
      <c r="AN261" s="566">
        <f t="shared" si="184"/>
        <v>-3.5168121954749498E-2</v>
      </c>
      <c r="AO261" s="538">
        <f t="shared" si="185"/>
        <v>-3.5168121954749498E-2</v>
      </c>
      <c r="AP261" s="538">
        <f t="shared" si="186"/>
        <v>-3.4888770930849744E-2</v>
      </c>
      <c r="AQ261" s="538">
        <f t="shared" si="187"/>
        <v>-3.3816425120772875E-2</v>
      </c>
      <c r="AR261" s="538">
        <f t="shared" si="188"/>
        <v>-3.3816425120772875E-2</v>
      </c>
      <c r="AS261" s="538">
        <f t="shared" si="189"/>
        <v>-2.9126213592232997E-2</v>
      </c>
      <c r="AT261" s="538">
        <f t="shared" si="190"/>
        <v>-2.9126213592232997E-2</v>
      </c>
      <c r="AU261" s="538">
        <f t="shared" si="191"/>
        <v>-2.9126213592232997E-2</v>
      </c>
      <c r="AV261" s="538">
        <f t="shared" si="192"/>
        <v>-2.9126213592232997E-2</v>
      </c>
      <c r="AW261" s="539">
        <f t="shared" si="193"/>
        <v>-2.9126213592232997E-2</v>
      </c>
      <c r="AX261" s="569">
        <f t="shared" si="194"/>
        <v>-3.1848893304305945E-2</v>
      </c>
    </row>
    <row r="262" spans="1:50" ht="16.5" customHeight="1">
      <c r="A262" s="373" t="s">
        <v>1231</v>
      </c>
      <c r="C262" s="450">
        <v>31597</v>
      </c>
      <c r="D262" s="421">
        <f t="shared" si="211"/>
        <v>31597</v>
      </c>
      <c r="E262" s="421">
        <f t="shared" si="216"/>
        <v>31597</v>
      </c>
      <c r="F262" s="421">
        <f t="shared" si="216"/>
        <v>31597</v>
      </c>
      <c r="G262" s="421">
        <f t="shared" si="216"/>
        <v>31597</v>
      </c>
      <c r="H262" s="421">
        <f t="shared" si="216"/>
        <v>31597</v>
      </c>
      <c r="I262" s="421">
        <f t="shared" si="216"/>
        <v>31597</v>
      </c>
      <c r="J262" s="421">
        <f t="shared" si="216"/>
        <v>31597</v>
      </c>
      <c r="K262" s="421">
        <f t="shared" si="216"/>
        <v>31597</v>
      </c>
      <c r="L262" s="421">
        <f t="shared" si="216"/>
        <v>31597</v>
      </c>
      <c r="M262" s="421">
        <f t="shared" si="216"/>
        <v>31597</v>
      </c>
      <c r="N262" s="393"/>
      <c r="O262" s="566">
        <f t="shared" si="170"/>
        <v>6.556523218728536E-3</v>
      </c>
      <c r="P262" s="538">
        <f t="shared" si="171"/>
        <v>5.7759045160375071E-3</v>
      </c>
      <c r="Q262" s="538">
        <f t="shared" si="172"/>
        <v>5.0223976984706568E-3</v>
      </c>
      <c r="R262" s="538">
        <f t="shared" si="173"/>
        <v>4.3635498916252497E-3</v>
      </c>
      <c r="S262" s="538">
        <f t="shared" si="174"/>
        <v>3.791502183700095E-3</v>
      </c>
      <c r="T262" s="538">
        <f t="shared" si="175"/>
        <v>3.2917024166316667E-3</v>
      </c>
      <c r="U262" s="538">
        <f t="shared" si="176"/>
        <v>2.8691480522910688E-3</v>
      </c>
      <c r="V262" s="538">
        <f t="shared" si="177"/>
        <v>2.4993466343552605E-3</v>
      </c>
      <c r="W262" s="538">
        <f t="shared" si="178"/>
        <v>2.1760737506444135E-3</v>
      </c>
      <c r="X262" s="538">
        <f t="shared" si="179"/>
        <v>1.8937510920336543E-3</v>
      </c>
      <c r="Y262" s="539">
        <f t="shared" si="180"/>
        <v>1.6474016042857011E-3</v>
      </c>
      <c r="Z262" s="569">
        <f t="shared" si="181"/>
        <v>3.6261182780730748E-3</v>
      </c>
      <c r="AB262" s="566">
        <f t="shared" si="182"/>
        <v>0</v>
      </c>
      <c r="AC262" s="538">
        <f t="shared" si="182"/>
        <v>0</v>
      </c>
      <c r="AD262" s="538">
        <f t="shared" si="182"/>
        <v>0</v>
      </c>
      <c r="AE262" s="538">
        <f t="shared" si="182"/>
        <v>0</v>
      </c>
      <c r="AF262" s="538">
        <f t="shared" si="182"/>
        <v>0</v>
      </c>
      <c r="AG262" s="538">
        <f t="shared" si="182"/>
        <v>0</v>
      </c>
      <c r="AH262" s="538">
        <f t="shared" si="182"/>
        <v>0</v>
      </c>
      <c r="AI262" s="538">
        <f t="shared" si="182"/>
        <v>0</v>
      </c>
      <c r="AJ262" s="538">
        <f t="shared" si="182"/>
        <v>0</v>
      </c>
      <c r="AK262" s="539">
        <f t="shared" si="182"/>
        <v>0</v>
      </c>
      <c r="AL262" s="539">
        <f t="shared" si="183"/>
        <v>0</v>
      </c>
      <c r="AN262" s="566">
        <f t="shared" si="184"/>
        <v>-3.5168121954749498E-2</v>
      </c>
      <c r="AO262" s="538">
        <f t="shared" si="185"/>
        <v>-3.5168121954749498E-2</v>
      </c>
      <c r="AP262" s="538">
        <f t="shared" si="186"/>
        <v>-3.4888770930849744E-2</v>
      </c>
      <c r="AQ262" s="538">
        <f t="shared" si="187"/>
        <v>-3.3816425120772875E-2</v>
      </c>
      <c r="AR262" s="538">
        <f t="shared" si="188"/>
        <v>-3.3816425120772875E-2</v>
      </c>
      <c r="AS262" s="538">
        <f t="shared" si="189"/>
        <v>-2.9126213592232997E-2</v>
      </c>
      <c r="AT262" s="538">
        <f t="shared" si="190"/>
        <v>-2.9126213592232997E-2</v>
      </c>
      <c r="AU262" s="538">
        <f t="shared" si="191"/>
        <v>-2.9126213592232997E-2</v>
      </c>
      <c r="AV262" s="538">
        <f t="shared" si="192"/>
        <v>-2.9126213592232997E-2</v>
      </c>
      <c r="AW262" s="539">
        <f t="shared" si="193"/>
        <v>-2.9126213592232997E-2</v>
      </c>
      <c r="AX262" s="569">
        <f t="shared" si="194"/>
        <v>-3.1848893304305945E-2</v>
      </c>
    </row>
    <row r="263" spans="1:50">
      <c r="A263" s="373" t="s">
        <v>1229</v>
      </c>
      <c r="C263" s="416">
        <f>'ANTONIO ARAUJO &amp; CIA'!L48</f>
        <v>26081</v>
      </c>
      <c r="D263" s="416">
        <f t="shared" si="211"/>
        <v>26081</v>
      </c>
      <c r="E263" s="382">
        <f>D263</f>
        <v>26081</v>
      </c>
      <c r="F263" s="382">
        <f t="shared" ref="F263:M263" si="217">E263</f>
        <v>26081</v>
      </c>
      <c r="G263" s="382">
        <f t="shared" si="217"/>
        <v>26081</v>
      </c>
      <c r="H263" s="382">
        <f t="shared" si="217"/>
        <v>26081</v>
      </c>
      <c r="I263" s="382">
        <f t="shared" si="217"/>
        <v>26081</v>
      </c>
      <c r="J263" s="382">
        <f t="shared" si="217"/>
        <v>26081</v>
      </c>
      <c r="K263" s="382">
        <f t="shared" si="217"/>
        <v>26081</v>
      </c>
      <c r="L263" s="382">
        <f t="shared" si="217"/>
        <v>26081</v>
      </c>
      <c r="M263" s="382">
        <f t="shared" si="217"/>
        <v>26081</v>
      </c>
      <c r="O263" s="566">
        <f t="shared" si="170"/>
        <v>5.4119277800949127E-3</v>
      </c>
      <c r="P263" s="538">
        <f t="shared" si="171"/>
        <v>4.7675844441805943E-3</v>
      </c>
      <c r="Q263" s="538">
        <f t="shared" si="172"/>
        <v>4.1456199757512798E-3</v>
      </c>
      <c r="R263" s="538">
        <f t="shared" si="173"/>
        <v>3.6017895598784108E-3</v>
      </c>
      <c r="S263" s="538">
        <f t="shared" si="174"/>
        <v>3.129606242778814E-3</v>
      </c>
      <c r="T263" s="538">
        <f t="shared" si="175"/>
        <v>2.7170582880707188E-3</v>
      </c>
      <c r="U263" s="538">
        <f t="shared" si="176"/>
        <v>2.368270733038053E-3</v>
      </c>
      <c r="V263" s="538">
        <f t="shared" si="177"/>
        <v>2.0630268560502441E-3</v>
      </c>
      <c r="W263" s="538">
        <f t="shared" si="178"/>
        <v>1.7961888625678689E-3</v>
      </c>
      <c r="X263" s="538">
        <f t="shared" si="179"/>
        <v>1.5631522686118853E-3</v>
      </c>
      <c r="Y263" s="539">
        <f t="shared" si="180"/>
        <v>1.3598088818994008E-3</v>
      </c>
      <c r="Z263" s="569">
        <f t="shared" si="181"/>
        <v>2.9930939902656525E-3</v>
      </c>
      <c r="AB263" s="566">
        <f t="shared" si="182"/>
        <v>0</v>
      </c>
      <c r="AC263" s="538">
        <f t="shared" si="182"/>
        <v>0</v>
      </c>
      <c r="AD263" s="538">
        <f t="shared" si="182"/>
        <v>0</v>
      </c>
      <c r="AE263" s="538">
        <f t="shared" si="182"/>
        <v>0</v>
      </c>
      <c r="AF263" s="538">
        <f t="shared" si="182"/>
        <v>0</v>
      </c>
      <c r="AG263" s="538">
        <f t="shared" si="182"/>
        <v>0</v>
      </c>
      <c r="AH263" s="538">
        <f t="shared" si="182"/>
        <v>0</v>
      </c>
      <c r="AI263" s="538">
        <f t="shared" si="182"/>
        <v>0</v>
      </c>
      <c r="AJ263" s="538">
        <f t="shared" si="182"/>
        <v>0</v>
      </c>
      <c r="AK263" s="539">
        <f t="shared" si="182"/>
        <v>0</v>
      </c>
      <c r="AL263" s="539">
        <f t="shared" si="183"/>
        <v>0</v>
      </c>
      <c r="AN263" s="566">
        <f t="shared" si="184"/>
        <v>-3.5168121954749498E-2</v>
      </c>
      <c r="AO263" s="538">
        <f t="shared" si="185"/>
        <v>-3.5168121954749498E-2</v>
      </c>
      <c r="AP263" s="538">
        <f t="shared" si="186"/>
        <v>-3.4888770930849744E-2</v>
      </c>
      <c r="AQ263" s="538">
        <f t="shared" si="187"/>
        <v>-3.3816425120772875E-2</v>
      </c>
      <c r="AR263" s="538">
        <f t="shared" si="188"/>
        <v>-3.3816425120772875E-2</v>
      </c>
      <c r="AS263" s="538">
        <f t="shared" si="189"/>
        <v>-2.9126213592232997E-2</v>
      </c>
      <c r="AT263" s="538">
        <f t="shared" si="190"/>
        <v>-2.9126213592232997E-2</v>
      </c>
      <c r="AU263" s="538">
        <f t="shared" si="191"/>
        <v>-2.9126213592232997E-2</v>
      </c>
      <c r="AV263" s="538">
        <f t="shared" si="192"/>
        <v>-2.9126213592232997E-2</v>
      </c>
      <c r="AW263" s="539">
        <f t="shared" si="193"/>
        <v>-2.9126213592232997E-2</v>
      </c>
      <c r="AX263" s="569">
        <f t="shared" si="194"/>
        <v>-3.1848893304305945E-2</v>
      </c>
    </row>
    <row r="264" spans="1:50">
      <c r="A264" s="371" t="s">
        <v>1209</v>
      </c>
      <c r="C264" s="421">
        <f>'ANTONIO ARAUJO &amp; CIA'!L45</f>
        <v>18354</v>
      </c>
      <c r="D264" s="421">
        <f t="shared" si="211"/>
        <v>18354</v>
      </c>
      <c r="E264" s="421">
        <f t="shared" ref="E264:M264" si="218">D264</f>
        <v>18354</v>
      </c>
      <c r="F264" s="421">
        <f t="shared" si="218"/>
        <v>18354</v>
      </c>
      <c r="G264" s="421">
        <f t="shared" si="218"/>
        <v>18354</v>
      </c>
      <c r="H264" s="421">
        <f t="shared" si="218"/>
        <v>18354</v>
      </c>
      <c r="I264" s="421">
        <f t="shared" si="218"/>
        <v>18354</v>
      </c>
      <c r="J264" s="421">
        <f t="shared" si="218"/>
        <v>18354</v>
      </c>
      <c r="K264" s="421">
        <f t="shared" si="218"/>
        <v>18354</v>
      </c>
      <c r="L264" s="421">
        <f t="shared" si="218"/>
        <v>18354</v>
      </c>
      <c r="M264" s="421">
        <f t="shared" si="218"/>
        <v>18354</v>
      </c>
      <c r="N264" s="393"/>
      <c r="O264" s="566">
        <f t="shared" si="170"/>
        <v>3.8085396447936053E-3</v>
      </c>
      <c r="P264" s="538">
        <f t="shared" si="171"/>
        <v>3.3550954675238918E-3</v>
      </c>
      <c r="Q264" s="538">
        <f t="shared" si="172"/>
        <v>2.9173999860027987E-3</v>
      </c>
      <c r="R264" s="538">
        <f t="shared" si="173"/>
        <v>2.5346898348226044E-3</v>
      </c>
      <c r="S264" s="538">
        <f t="shared" si="174"/>
        <v>2.2023999455527913E-3</v>
      </c>
      <c r="T264" s="538">
        <f t="shared" si="175"/>
        <v>1.9120772907192966E-3</v>
      </c>
      <c r="U264" s="538">
        <f t="shared" si="176"/>
        <v>1.6666247856363032E-3</v>
      </c>
      <c r="V264" s="538">
        <f t="shared" si="177"/>
        <v>1.4518153029387745E-3</v>
      </c>
      <c r="W264" s="538">
        <f t="shared" si="178"/>
        <v>1.2640332189552037E-3</v>
      </c>
      <c r="X264" s="538">
        <f t="shared" si="179"/>
        <v>1.1000382170201503E-3</v>
      </c>
      <c r="Y264" s="539">
        <f t="shared" si="180"/>
        <v>9.5693923616355211E-4</v>
      </c>
      <c r="Z264" s="569">
        <f t="shared" si="181"/>
        <v>2.1063320845571792E-3</v>
      </c>
      <c r="AB264" s="566">
        <f t="shared" si="182"/>
        <v>0</v>
      </c>
      <c r="AC264" s="538">
        <f t="shared" si="182"/>
        <v>0</v>
      </c>
      <c r="AD264" s="538">
        <f t="shared" si="182"/>
        <v>0</v>
      </c>
      <c r="AE264" s="538">
        <f t="shared" si="182"/>
        <v>0</v>
      </c>
      <c r="AF264" s="538">
        <f t="shared" si="182"/>
        <v>0</v>
      </c>
      <c r="AG264" s="538">
        <f t="shared" si="182"/>
        <v>0</v>
      </c>
      <c r="AH264" s="538">
        <f t="shared" si="182"/>
        <v>0</v>
      </c>
      <c r="AI264" s="538">
        <f t="shared" si="182"/>
        <v>0</v>
      </c>
      <c r="AJ264" s="538">
        <f t="shared" si="182"/>
        <v>0</v>
      </c>
      <c r="AK264" s="539">
        <f t="shared" si="182"/>
        <v>0</v>
      </c>
      <c r="AL264" s="539">
        <f t="shared" si="183"/>
        <v>0</v>
      </c>
      <c r="AN264" s="566">
        <f t="shared" si="184"/>
        <v>-3.5168121954749498E-2</v>
      </c>
      <c r="AO264" s="538">
        <f t="shared" si="185"/>
        <v>-3.5168121954749498E-2</v>
      </c>
      <c r="AP264" s="538">
        <f t="shared" si="186"/>
        <v>-3.4888770930849744E-2</v>
      </c>
      <c r="AQ264" s="538">
        <f t="shared" si="187"/>
        <v>-3.3816425120772875E-2</v>
      </c>
      <c r="AR264" s="538">
        <f t="shared" si="188"/>
        <v>-3.3816425120772875E-2</v>
      </c>
      <c r="AS264" s="538">
        <f t="shared" si="189"/>
        <v>-2.9126213592232997E-2</v>
      </c>
      <c r="AT264" s="538">
        <f t="shared" si="190"/>
        <v>-2.9126213592232997E-2</v>
      </c>
      <c r="AU264" s="538">
        <f t="shared" si="191"/>
        <v>-2.9126213592232997E-2</v>
      </c>
      <c r="AV264" s="538">
        <f t="shared" si="192"/>
        <v>-2.9126213592232997E-2</v>
      </c>
      <c r="AW264" s="539">
        <f t="shared" si="193"/>
        <v>-2.9126213592232997E-2</v>
      </c>
      <c r="AX264" s="569">
        <f t="shared" si="194"/>
        <v>-3.1848893304305945E-2</v>
      </c>
    </row>
    <row r="265" spans="1:50">
      <c r="A265" s="371" t="s">
        <v>1210</v>
      </c>
      <c r="C265" s="421">
        <f>'ANTONIO ARAUJO &amp; CIA'!L46</f>
        <v>83359</v>
      </c>
      <c r="D265" s="421">
        <f t="shared" si="211"/>
        <v>83359</v>
      </c>
      <c r="E265" s="421">
        <f t="shared" ref="E265:M265" si="219">D265</f>
        <v>83359</v>
      </c>
      <c r="F265" s="421">
        <f t="shared" si="219"/>
        <v>83359</v>
      </c>
      <c r="G265" s="421">
        <f t="shared" si="219"/>
        <v>83359</v>
      </c>
      <c r="H265" s="421">
        <f t="shared" si="219"/>
        <v>83359</v>
      </c>
      <c r="I265" s="421">
        <f t="shared" si="219"/>
        <v>83359</v>
      </c>
      <c r="J265" s="421">
        <f t="shared" si="219"/>
        <v>83359</v>
      </c>
      <c r="K265" s="421">
        <f t="shared" si="219"/>
        <v>83359</v>
      </c>
      <c r="L265" s="421">
        <f t="shared" si="219"/>
        <v>83359</v>
      </c>
      <c r="M265" s="421">
        <f t="shared" si="219"/>
        <v>83359</v>
      </c>
      <c r="N265" s="393"/>
      <c r="O265" s="566">
        <f t="shared" si="170"/>
        <v>1.7297376934202361E-2</v>
      </c>
      <c r="P265" s="538">
        <f t="shared" si="171"/>
        <v>1.5237953747266214E-2</v>
      </c>
      <c r="Q265" s="538">
        <f t="shared" si="172"/>
        <v>1.3250056959420687E-2</v>
      </c>
      <c r="R265" s="538">
        <f t="shared" si="173"/>
        <v>1.1511888958318487E-2</v>
      </c>
      <c r="S265" s="538">
        <f t="shared" si="174"/>
        <v>1.0002716413933481E-2</v>
      </c>
      <c r="T265" s="538">
        <f t="shared" si="175"/>
        <v>8.684147917460491E-3</v>
      </c>
      <c r="U265" s="538">
        <f t="shared" si="176"/>
        <v>7.5693677403212709E-3</v>
      </c>
      <c r="V265" s="538">
        <f t="shared" si="177"/>
        <v>6.5937600434604607E-3</v>
      </c>
      <c r="W265" s="538">
        <f t="shared" si="178"/>
        <v>5.7409036231277554E-3</v>
      </c>
      <c r="X265" s="538">
        <f t="shared" si="179"/>
        <v>4.9960818204523652E-3</v>
      </c>
      <c r="Y265" s="539">
        <f t="shared" si="180"/>
        <v>4.3461642032994194E-3</v>
      </c>
      <c r="Z265" s="569">
        <f t="shared" si="181"/>
        <v>9.566401669205726E-3</v>
      </c>
      <c r="AB265" s="566">
        <f t="shared" si="182"/>
        <v>0</v>
      </c>
      <c r="AC265" s="538">
        <f t="shared" si="182"/>
        <v>0</v>
      </c>
      <c r="AD265" s="538">
        <f t="shared" si="182"/>
        <v>0</v>
      </c>
      <c r="AE265" s="538">
        <f t="shared" si="182"/>
        <v>0</v>
      </c>
      <c r="AF265" s="538">
        <f t="shared" si="182"/>
        <v>0</v>
      </c>
      <c r="AG265" s="538">
        <f t="shared" si="182"/>
        <v>0</v>
      </c>
      <c r="AH265" s="538">
        <f t="shared" si="182"/>
        <v>0</v>
      </c>
      <c r="AI265" s="538">
        <f t="shared" si="182"/>
        <v>0</v>
      </c>
      <c r="AJ265" s="538">
        <f t="shared" si="182"/>
        <v>0</v>
      </c>
      <c r="AK265" s="539">
        <f t="shared" si="182"/>
        <v>0</v>
      </c>
      <c r="AL265" s="539">
        <f t="shared" si="183"/>
        <v>0</v>
      </c>
      <c r="AN265" s="566">
        <f t="shared" si="184"/>
        <v>-3.5168121954749498E-2</v>
      </c>
      <c r="AO265" s="538">
        <f t="shared" si="185"/>
        <v>-3.5168121954749498E-2</v>
      </c>
      <c r="AP265" s="538">
        <f t="shared" si="186"/>
        <v>-3.4888770930849744E-2</v>
      </c>
      <c r="AQ265" s="538">
        <f t="shared" si="187"/>
        <v>-3.3816425120772875E-2</v>
      </c>
      <c r="AR265" s="538">
        <f t="shared" si="188"/>
        <v>-3.3816425120772875E-2</v>
      </c>
      <c r="AS265" s="538">
        <f t="shared" si="189"/>
        <v>-2.9126213592232997E-2</v>
      </c>
      <c r="AT265" s="538">
        <f t="shared" si="190"/>
        <v>-2.9126213592232997E-2</v>
      </c>
      <c r="AU265" s="538">
        <f t="shared" si="191"/>
        <v>-2.9126213592232997E-2</v>
      </c>
      <c r="AV265" s="538">
        <f t="shared" si="192"/>
        <v>-2.9126213592232997E-2</v>
      </c>
      <c r="AW265" s="539">
        <f t="shared" si="193"/>
        <v>-2.9126213592232997E-2</v>
      </c>
      <c r="AX265" s="569">
        <f t="shared" si="194"/>
        <v>-3.1848893304305945E-2</v>
      </c>
    </row>
    <row r="266" spans="1:50">
      <c r="A266" s="372" t="s">
        <v>1232</v>
      </c>
      <c r="C266" s="421">
        <f>C267</f>
        <v>0</v>
      </c>
      <c r="D266" s="421">
        <f t="shared" ref="D266:M266" si="220">D267</f>
        <v>4773.9199999999719</v>
      </c>
      <c r="E266" s="421">
        <f t="shared" si="220"/>
        <v>11007.541139548941</v>
      </c>
      <c r="F266" s="421">
        <f t="shared" si="220"/>
        <v>19033.790663289496</v>
      </c>
      <c r="G266" s="421">
        <f t="shared" si="220"/>
        <v>29239.759283656182</v>
      </c>
      <c r="H266" s="421">
        <f t="shared" si="220"/>
        <v>37880.864142594415</v>
      </c>
      <c r="I266" s="421">
        <f t="shared" si="220"/>
        <v>47792.575440437242</v>
      </c>
      <c r="J266" s="421">
        <f t="shared" si="220"/>
        <v>57605.208124020326</v>
      </c>
      <c r="K266" s="421">
        <f t="shared" si="220"/>
        <v>68475.990889653214</v>
      </c>
      <c r="L266" s="421">
        <f t="shared" si="220"/>
        <v>80286.167729669571</v>
      </c>
      <c r="M266" s="421">
        <f t="shared" si="220"/>
        <v>92815.052630083039</v>
      </c>
      <c r="N266" s="393"/>
      <c r="O266" s="566">
        <f t="shared" si="170"/>
        <v>0</v>
      </c>
      <c r="P266" s="538">
        <f t="shared" si="171"/>
        <v>8.726684839447294E-4</v>
      </c>
      <c r="Q266" s="538">
        <f t="shared" si="172"/>
        <v>1.7496676673447375E-3</v>
      </c>
      <c r="R266" s="538">
        <f t="shared" si="173"/>
        <v>2.6285690156032083E-3</v>
      </c>
      <c r="S266" s="538">
        <f t="shared" si="174"/>
        <v>3.5086435792906776E-3</v>
      </c>
      <c r="T266" s="538">
        <f t="shared" si="175"/>
        <v>3.9463408564823837E-3</v>
      </c>
      <c r="U266" s="538">
        <f t="shared" si="176"/>
        <v>4.3397782934742057E-3</v>
      </c>
      <c r="V266" s="538">
        <f t="shared" si="177"/>
        <v>4.5566155978765243E-3</v>
      </c>
      <c r="W266" s="538">
        <f t="shared" si="178"/>
        <v>4.7159162681374928E-3</v>
      </c>
      <c r="X266" s="538">
        <f t="shared" si="179"/>
        <v>4.8119130871050698E-3</v>
      </c>
      <c r="Y266" s="539">
        <f t="shared" si="180"/>
        <v>4.839183042841427E-3</v>
      </c>
      <c r="Z266" s="569">
        <f t="shared" si="181"/>
        <v>3.2699359901909504E-3</v>
      </c>
      <c r="AB266" s="566" t="str">
        <f t="shared" si="182"/>
        <v/>
      </c>
      <c r="AC266" s="538">
        <f t="shared" si="182"/>
        <v>1.3057657312122966</v>
      </c>
      <c r="AD266" s="538">
        <f t="shared" si="182"/>
        <v>0.72915916661015978</v>
      </c>
      <c r="AE266" s="538">
        <f t="shared" si="182"/>
        <v>0.53620263041197336</v>
      </c>
      <c r="AF266" s="538">
        <f t="shared" si="182"/>
        <v>0.29552585488514116</v>
      </c>
      <c r="AG266" s="538">
        <f t="shared" si="182"/>
        <v>0.26165483608114926</v>
      </c>
      <c r="AH266" s="538">
        <f t="shared" si="182"/>
        <v>0.20531709356848404</v>
      </c>
      <c r="AI266" s="538">
        <f t="shared" si="182"/>
        <v>0.18871180436027224</v>
      </c>
      <c r="AJ266" s="538">
        <f t="shared" si="182"/>
        <v>0.17247179174154725</v>
      </c>
      <c r="AK266" s="539">
        <f t="shared" si="182"/>
        <v>0.15605284515010487</v>
      </c>
      <c r="AL266" s="539">
        <f t="shared" si="183"/>
        <v>0.42787352822456987</v>
      </c>
      <c r="AN266" s="566">
        <f t="shared" si="184"/>
        <v>0</v>
      </c>
      <c r="AO266" s="538">
        <f t="shared" si="185"/>
        <v>1.2246762807779406</v>
      </c>
      <c r="AP266" s="538">
        <f t="shared" si="186"/>
        <v>0.66883092854331894</v>
      </c>
      <c r="AQ266" s="538">
        <f t="shared" si="187"/>
        <v>0.4842537491903125</v>
      </c>
      <c r="AR266" s="538">
        <f t="shared" si="188"/>
        <v>0.25171580182139253</v>
      </c>
      <c r="AS266" s="538">
        <f t="shared" si="189"/>
        <v>0.2249076078457759</v>
      </c>
      <c r="AT266" s="538">
        <f t="shared" si="190"/>
        <v>0.17021077045483879</v>
      </c>
      <c r="AU266" s="538">
        <f t="shared" si="191"/>
        <v>0.15408913044686612</v>
      </c>
      <c r="AV266" s="538">
        <f t="shared" si="192"/>
        <v>0.13832212790441467</v>
      </c>
      <c r="AW266" s="539">
        <f t="shared" si="193"/>
        <v>0.12238140305835432</v>
      </c>
      <c r="AX266" s="569">
        <f t="shared" si="194"/>
        <v>0.34393878000432138</v>
      </c>
    </row>
    <row r="267" spans="1:50">
      <c r="A267" s="363" t="s">
        <v>303</v>
      </c>
      <c r="C267" s="421">
        <f>'ANTONIO ARAUJO &amp; CIA'!L57</f>
        <v>0</v>
      </c>
      <c r="D267" s="421">
        <f t="shared" ref="D267:M267" si="221">C267+D148-D153</f>
        <v>4773.9199999999719</v>
      </c>
      <c r="E267" s="421">
        <f t="shared" si="221"/>
        <v>11007.541139548941</v>
      </c>
      <c r="F267" s="421">
        <f t="shared" si="221"/>
        <v>19033.790663289496</v>
      </c>
      <c r="G267" s="421">
        <f t="shared" si="221"/>
        <v>29239.759283656182</v>
      </c>
      <c r="H267" s="421">
        <f t="shared" si="221"/>
        <v>37880.864142594415</v>
      </c>
      <c r="I267" s="421">
        <f t="shared" si="221"/>
        <v>47792.575440437242</v>
      </c>
      <c r="J267" s="421">
        <f t="shared" si="221"/>
        <v>57605.208124020326</v>
      </c>
      <c r="K267" s="421">
        <f t="shared" si="221"/>
        <v>68475.990889653214</v>
      </c>
      <c r="L267" s="421">
        <f t="shared" si="221"/>
        <v>80286.167729669571</v>
      </c>
      <c r="M267" s="421">
        <f t="shared" si="221"/>
        <v>92815.052630083039</v>
      </c>
      <c r="N267" s="393"/>
      <c r="O267" s="566">
        <f t="shared" si="170"/>
        <v>0</v>
      </c>
      <c r="P267" s="538">
        <f t="shared" si="171"/>
        <v>8.726684839447294E-4</v>
      </c>
      <c r="Q267" s="538">
        <f t="shared" si="172"/>
        <v>1.7496676673447375E-3</v>
      </c>
      <c r="R267" s="538">
        <f t="shared" si="173"/>
        <v>2.6285690156032083E-3</v>
      </c>
      <c r="S267" s="538">
        <f t="shared" si="174"/>
        <v>3.5086435792906776E-3</v>
      </c>
      <c r="T267" s="538">
        <f t="shared" si="175"/>
        <v>3.9463408564823837E-3</v>
      </c>
      <c r="U267" s="538">
        <f t="shared" si="176"/>
        <v>4.3397782934742057E-3</v>
      </c>
      <c r="V267" s="538">
        <f t="shared" si="177"/>
        <v>4.5566155978765243E-3</v>
      </c>
      <c r="W267" s="538">
        <f t="shared" si="178"/>
        <v>4.7159162681374928E-3</v>
      </c>
      <c r="X267" s="538">
        <f t="shared" si="179"/>
        <v>4.8119130871050698E-3</v>
      </c>
      <c r="Y267" s="539">
        <f t="shared" si="180"/>
        <v>4.839183042841427E-3</v>
      </c>
      <c r="Z267" s="569">
        <f t="shared" si="181"/>
        <v>3.2699359901909504E-3</v>
      </c>
      <c r="AB267" s="566" t="str">
        <f t="shared" si="182"/>
        <v/>
      </c>
      <c r="AC267" s="538">
        <f t="shared" si="182"/>
        <v>1.3057657312122966</v>
      </c>
      <c r="AD267" s="538">
        <f t="shared" si="182"/>
        <v>0.72915916661015978</v>
      </c>
      <c r="AE267" s="538">
        <f t="shared" si="182"/>
        <v>0.53620263041197336</v>
      </c>
      <c r="AF267" s="538">
        <f t="shared" si="182"/>
        <v>0.29552585488514116</v>
      </c>
      <c r="AG267" s="538">
        <f t="shared" si="182"/>
        <v>0.26165483608114926</v>
      </c>
      <c r="AH267" s="538">
        <f t="shared" si="182"/>
        <v>0.20531709356848404</v>
      </c>
      <c r="AI267" s="538">
        <f t="shared" si="182"/>
        <v>0.18871180436027224</v>
      </c>
      <c r="AJ267" s="538">
        <f t="shared" si="182"/>
        <v>0.17247179174154725</v>
      </c>
      <c r="AK267" s="539">
        <f t="shared" si="182"/>
        <v>0.15605284515010487</v>
      </c>
      <c r="AL267" s="539">
        <f t="shared" si="183"/>
        <v>0.42787352822456987</v>
      </c>
      <c r="AN267" s="566">
        <f t="shared" si="184"/>
        <v>0</v>
      </c>
      <c r="AO267" s="538">
        <f t="shared" si="185"/>
        <v>1.2246762807779406</v>
      </c>
      <c r="AP267" s="538">
        <f t="shared" si="186"/>
        <v>0.66883092854331894</v>
      </c>
      <c r="AQ267" s="538">
        <f t="shared" si="187"/>
        <v>0.4842537491903125</v>
      </c>
      <c r="AR267" s="538">
        <f t="shared" si="188"/>
        <v>0.25171580182139253</v>
      </c>
      <c r="AS267" s="538">
        <f t="shared" si="189"/>
        <v>0.2249076078457759</v>
      </c>
      <c r="AT267" s="538">
        <f t="shared" si="190"/>
        <v>0.17021077045483879</v>
      </c>
      <c r="AU267" s="538">
        <f t="shared" si="191"/>
        <v>0.15408913044686612</v>
      </c>
      <c r="AV267" s="538">
        <f t="shared" si="192"/>
        <v>0.13832212790441467</v>
      </c>
      <c r="AW267" s="539">
        <f t="shared" si="193"/>
        <v>0.12238140305835432</v>
      </c>
      <c r="AX267" s="569">
        <f t="shared" si="194"/>
        <v>0.34393878000432138</v>
      </c>
    </row>
    <row r="268" spans="1:50">
      <c r="A268" s="372" t="s">
        <v>1233</v>
      </c>
      <c r="C268" s="421">
        <f t="shared" ref="C268:M268" si="222">C266+C254</f>
        <v>1839608</v>
      </c>
      <c r="D268" s="421">
        <f t="shared" si="222"/>
        <v>2902925.5973949758</v>
      </c>
      <c r="E268" s="421">
        <f t="shared" si="222"/>
        <v>4197722.7791762697</v>
      </c>
      <c r="F268" s="421">
        <f t="shared" si="222"/>
        <v>5684166.1497731609</v>
      </c>
      <c r="G268" s="421">
        <f t="shared" si="222"/>
        <v>7344711.7170609301</v>
      </c>
      <c r="H268" s="421">
        <f t="shared" si="222"/>
        <v>9192762.6324975993</v>
      </c>
      <c r="I268" s="421">
        <f t="shared" si="222"/>
        <v>11152805.456536941</v>
      </c>
      <c r="J268" s="421">
        <f t="shared" si="222"/>
        <v>13280261.590608848</v>
      </c>
      <c r="K268" s="421">
        <f t="shared" si="222"/>
        <v>15568850.854724959</v>
      </c>
      <c r="L268" s="421">
        <f t="shared" si="222"/>
        <v>18004719.911166348</v>
      </c>
      <c r="M268" s="421">
        <f t="shared" si="222"/>
        <v>20565285.555766046</v>
      </c>
      <c r="N268" s="393"/>
      <c r="O268" s="566">
        <f t="shared" si="170"/>
        <v>0.38172714388577283</v>
      </c>
      <c r="P268" s="538">
        <f t="shared" si="171"/>
        <v>0.53065231090655818</v>
      </c>
      <c r="Q268" s="538">
        <f t="shared" si="172"/>
        <v>0.66723528262027232</v>
      </c>
      <c r="R268" s="538">
        <f t="shared" si="173"/>
        <v>0.78498409933925972</v>
      </c>
      <c r="S268" s="538">
        <f t="shared" si="174"/>
        <v>0.88133337069608486</v>
      </c>
      <c r="T268" s="538">
        <f t="shared" si="175"/>
        <v>0.95768075997447955</v>
      </c>
      <c r="U268" s="538">
        <f t="shared" si="176"/>
        <v>1.0127243109537034</v>
      </c>
      <c r="V268" s="538">
        <f t="shared" si="177"/>
        <v>1.050478751458862</v>
      </c>
      <c r="W268" s="538">
        <f t="shared" si="178"/>
        <v>1.0722210232827429</v>
      </c>
      <c r="X268" s="538">
        <f t="shared" si="179"/>
        <v>1.07910428184737</v>
      </c>
      <c r="Y268" s="539">
        <f t="shared" si="180"/>
        <v>1.0722310477944912</v>
      </c>
      <c r="Z268" s="569">
        <f t="shared" si="181"/>
        <v>0.86276112570541774</v>
      </c>
      <c r="AB268" s="566">
        <f t="shared" si="182"/>
        <v>0.57801314051416153</v>
      </c>
      <c r="AC268" s="538">
        <f t="shared" si="182"/>
        <v>0.44603181801945513</v>
      </c>
      <c r="AD268" s="538">
        <f t="shared" si="182"/>
        <v>0.35410708348124409</v>
      </c>
      <c r="AE268" s="538">
        <f t="shared" si="182"/>
        <v>0.29213529716298625</v>
      </c>
      <c r="AF268" s="538">
        <f t="shared" si="182"/>
        <v>0.2516165353561608</v>
      </c>
      <c r="AG268" s="538">
        <f t="shared" si="182"/>
        <v>0.21321586365238443</v>
      </c>
      <c r="AH268" s="538">
        <f t="shared" si="182"/>
        <v>0.19075524471064376</v>
      </c>
      <c r="AI268" s="538">
        <f t="shared" si="182"/>
        <v>0.17233013435025168</v>
      </c>
      <c r="AJ268" s="538">
        <f t="shared" si="182"/>
        <v>0.15645785801218159</v>
      </c>
      <c r="AK268" s="539">
        <f t="shared" si="182"/>
        <v>0.14221635533533972</v>
      </c>
      <c r="AL268" s="539">
        <f t="shared" si="183"/>
        <v>0.27968793305948092</v>
      </c>
      <c r="AN268" s="566">
        <f t="shared" si="184"/>
        <v>0.5225173819423623</v>
      </c>
      <c r="AO268" s="538">
        <f t="shared" si="185"/>
        <v>0.39517759469289881</v>
      </c>
      <c r="AP268" s="538">
        <f t="shared" si="186"/>
        <v>0.30686395162982594</v>
      </c>
      <c r="AQ268" s="538">
        <f t="shared" si="187"/>
        <v>0.24843990064056642</v>
      </c>
      <c r="AR268" s="538">
        <f t="shared" si="188"/>
        <v>0.20929133850836812</v>
      </c>
      <c r="AS268" s="538">
        <f t="shared" si="189"/>
        <v>0.17787947927415959</v>
      </c>
      <c r="AT268" s="538">
        <f t="shared" si="190"/>
        <v>0.15607305311712993</v>
      </c>
      <c r="AU268" s="538">
        <f t="shared" si="191"/>
        <v>0.1381845964565549</v>
      </c>
      <c r="AV268" s="538">
        <f t="shared" si="192"/>
        <v>0.12277461942930246</v>
      </c>
      <c r="AW268" s="539">
        <f t="shared" si="193"/>
        <v>0.10894791780130064</v>
      </c>
      <c r="AX268" s="569">
        <f t="shared" si="194"/>
        <v>0.23861498334924686</v>
      </c>
    </row>
    <row r="269" spans="1:50">
      <c r="A269" s="372" t="s">
        <v>1237</v>
      </c>
      <c r="C269" s="421">
        <f>SUM(C270:C275)</f>
        <v>2979562</v>
      </c>
      <c r="D269" s="421">
        <f t="shared" ref="D269:L269" si="223">SUM(D270:D275)</f>
        <v>2567559.5728960242</v>
      </c>
      <c r="E269" s="421">
        <f t="shared" si="223"/>
        <v>2093495.4590013698</v>
      </c>
      <c r="F269" s="421">
        <f>SUM(F270:F275)</f>
        <v>1556956.5106191463</v>
      </c>
      <c r="G269" s="421">
        <f>SUM(G270:G275)</f>
        <v>988924.5223793271</v>
      </c>
      <c r="H269" s="421">
        <f>SUM(H270:H275)</f>
        <v>406221.72293893108</v>
      </c>
      <c r="I269" s="421">
        <f>SUM(I270:I275)</f>
        <v>-140128.72318775626</v>
      </c>
      <c r="J269" s="421">
        <f>SUM(J270:J275)</f>
        <v>-638157.62404526211</v>
      </c>
      <c r="K269" s="421">
        <f t="shared" si="223"/>
        <v>-1048662.8369047968</v>
      </c>
      <c r="L269" s="421">
        <f t="shared" si="223"/>
        <v>-1319845.0440745365</v>
      </c>
      <c r="M269" s="421">
        <f>SUM(M270:M275)</f>
        <v>-1385384.3599673547</v>
      </c>
      <c r="N269" s="393"/>
      <c r="O269" s="566">
        <f t="shared" si="170"/>
        <v>0.61827285611422711</v>
      </c>
      <c r="P269" s="538">
        <f t="shared" si="171"/>
        <v>0.46934768909344177</v>
      </c>
      <c r="Q269" s="538">
        <f t="shared" si="172"/>
        <v>0.33276471737972751</v>
      </c>
      <c r="R269" s="538">
        <f t="shared" si="173"/>
        <v>0.21501590066074006</v>
      </c>
      <c r="S269" s="538">
        <f t="shared" si="174"/>
        <v>0.11866662930391468</v>
      </c>
      <c r="T269" s="538">
        <f t="shared" si="175"/>
        <v>4.2319240025520108E-2</v>
      </c>
      <c r="U269" s="538">
        <f t="shared" si="176"/>
        <v>-1.2724310953703997E-2</v>
      </c>
      <c r="V269" s="538">
        <f t="shared" si="177"/>
        <v>-5.0478751458862416E-2</v>
      </c>
      <c r="W269" s="538">
        <f t="shared" si="178"/>
        <v>-7.2221023282743047E-2</v>
      </c>
      <c r="X269" s="538">
        <f t="shared" si="179"/>
        <v>-7.9104281847370325E-2</v>
      </c>
      <c r="Y269" s="539">
        <f t="shared" si="180"/>
        <v>-7.2231047794491229E-2</v>
      </c>
      <c r="Z269" s="569">
        <f t="shared" si="181"/>
        <v>0.13723887429458181</v>
      </c>
      <c r="AB269" s="566">
        <f t="shared" si="182"/>
        <v>-0.13827617183464413</v>
      </c>
      <c r="AC269" s="538">
        <f t="shared" si="182"/>
        <v>-0.18463607189450482</v>
      </c>
      <c r="AD269" s="538">
        <f t="shared" si="182"/>
        <v>-0.25628856564998759</v>
      </c>
      <c r="AE269" s="538">
        <f t="shared" si="182"/>
        <v>-0.36483484565277491</v>
      </c>
      <c r="AF269" s="538">
        <f t="shared" si="182"/>
        <v>-0.58922878971433335</v>
      </c>
      <c r="AG269" s="538">
        <f t="shared" si="182"/>
        <v>-1.3449562523982066</v>
      </c>
      <c r="AH269" s="538">
        <f t="shared" si="182"/>
        <v>3.5540814868498076</v>
      </c>
      <c r="AI269" s="538">
        <f t="shared" si="182"/>
        <v>0.64326617342178616</v>
      </c>
      <c r="AJ269" s="538">
        <f t="shared" si="182"/>
        <v>0.25859809046933857</v>
      </c>
      <c r="AK269" s="539">
        <f t="shared" si="182"/>
        <v>4.9656826145658473E-2</v>
      </c>
      <c r="AL269" s="539">
        <f t="shared" si="183"/>
        <v>0.16273818797421397</v>
      </c>
      <c r="AN269" s="566">
        <f t="shared" si="184"/>
        <v>-0.16858138051487692</v>
      </c>
      <c r="AO269" s="538">
        <f t="shared" si="185"/>
        <v>-0.21331088995562242</v>
      </c>
      <c r="AP269" s="538">
        <f t="shared" si="186"/>
        <v>-0.28223574352167879</v>
      </c>
      <c r="AQ269" s="538">
        <f t="shared" si="187"/>
        <v>-0.38631386053408201</v>
      </c>
      <c r="AR269" s="538">
        <f t="shared" si="188"/>
        <v>-0.60311960358872785</v>
      </c>
      <c r="AS269" s="538">
        <f t="shared" si="189"/>
        <v>-1.3349089829108802</v>
      </c>
      <c r="AT269" s="538">
        <f>IF(AH269="",,(((AH269+1)/($J$22+1))-1))</f>
        <v>3.4214383367473857</v>
      </c>
      <c r="AU269" s="538">
        <f t="shared" si="191"/>
        <v>0.59540405186581169</v>
      </c>
      <c r="AV269" s="538">
        <f t="shared" si="192"/>
        <v>0.22193989365955202</v>
      </c>
      <c r="AW269" s="539">
        <f t="shared" si="193"/>
        <v>1.9084297228794567E-2</v>
      </c>
      <c r="AX269" s="569">
        <f t="shared" si="194"/>
        <v>0.12693961184756758</v>
      </c>
    </row>
    <row r="270" spans="1:50">
      <c r="A270" s="363" t="s">
        <v>302</v>
      </c>
      <c r="C270" s="421">
        <f>'ANTONIO ARAUJO &amp; CIA'!L61</f>
        <v>135540</v>
      </c>
      <c r="D270" s="421">
        <f t="shared" ref="D270:M270" si="224">C270+D159</f>
        <v>136733.47999999998</v>
      </c>
      <c r="E270" s="421">
        <f t="shared" si="224"/>
        <v>138411.23328488722</v>
      </c>
      <c r="F270" s="421">
        <f t="shared" si="224"/>
        <v>140704.91899431107</v>
      </c>
      <c r="G270" s="421">
        <f t="shared" si="224"/>
        <v>143772.90304883386</v>
      </c>
      <c r="H270" s="421">
        <f t="shared" si="224"/>
        <v>146756.46956845181</v>
      </c>
      <c r="I270" s="421">
        <f t="shared" si="224"/>
        <v>150356.04434975769</v>
      </c>
      <c r="J270" s="421">
        <f t="shared" si="224"/>
        <v>153930.84947749865</v>
      </c>
      <c r="K270" s="421">
        <f t="shared" si="224"/>
        <v>158127.67263852616</v>
      </c>
      <c r="L270" s="421">
        <f t="shared" si="224"/>
        <v>162979.02663425228</v>
      </c>
      <c r="M270" s="421">
        <f t="shared" si="224"/>
        <v>168495.19304465028</v>
      </c>
      <c r="N270" s="393"/>
      <c r="O270" s="566">
        <f t="shared" si="170"/>
        <v>2.8125175082016198E-2</v>
      </c>
      <c r="P270" s="538">
        <f t="shared" si="171"/>
        <v>2.4994762940327375E-2</v>
      </c>
      <c r="Q270" s="538">
        <f t="shared" si="172"/>
        <v>2.2000704481200832E-2</v>
      </c>
      <c r="R270" s="538">
        <f t="shared" si="173"/>
        <v>1.9431367978882983E-2</v>
      </c>
      <c r="S270" s="538">
        <f t="shared" si="174"/>
        <v>1.7252121273113132E-2</v>
      </c>
      <c r="T270" s="538">
        <f t="shared" si="175"/>
        <v>1.5288749740000775E-2</v>
      </c>
      <c r="U270" s="538">
        <f t="shared" si="176"/>
        <v>1.3652997176829978E-2</v>
      </c>
      <c r="V270" s="538">
        <f t="shared" si="177"/>
        <v>1.2176046794475186E-2</v>
      </c>
      <c r="W270" s="538">
        <f t="shared" si="178"/>
        <v>1.0890194565281187E-2</v>
      </c>
      <c r="X270" s="538">
        <f t="shared" si="179"/>
        <v>9.7680700594106173E-3</v>
      </c>
      <c r="Y270" s="539">
        <f t="shared" si="180"/>
        <v>8.7849875411015535E-3</v>
      </c>
      <c r="Z270" s="569">
        <f t="shared" si="181"/>
        <v>1.6578652512058159E-2</v>
      </c>
      <c r="AB270" s="566">
        <f t="shared" si="182"/>
        <v>8.8053711081597097E-3</v>
      </c>
      <c r="AC270" s="538">
        <f t="shared" si="182"/>
        <v>1.227024489457329E-2</v>
      </c>
      <c r="AD270" s="538">
        <f t="shared" si="182"/>
        <v>1.6571528589033102E-2</v>
      </c>
      <c r="AE270" s="538">
        <f t="shared" si="182"/>
        <v>2.1804383787370263E-2</v>
      </c>
      <c r="AF270" s="538">
        <f t="shared" si="182"/>
        <v>2.0751939039615586E-2</v>
      </c>
      <c r="AG270" s="538">
        <f t="shared" si="182"/>
        <v>2.4527537299654956E-2</v>
      </c>
      <c r="AH270" s="538">
        <f t="shared" si="182"/>
        <v>2.3775599731961972E-2</v>
      </c>
      <c r="AI270" s="538">
        <f t="shared" si="182"/>
        <v>2.7264340937980691E-2</v>
      </c>
      <c r="AJ270" s="538">
        <f t="shared" si="182"/>
        <v>3.0679981022778469E-2</v>
      </c>
      <c r="AK270" s="539">
        <f t="shared" si="182"/>
        <v>3.3845866700241478E-2</v>
      </c>
      <c r="AL270" s="539">
        <f t="shared" si="183"/>
        <v>2.2029679311136953E-2</v>
      </c>
      <c r="AN270" s="566">
        <f t="shared" si="184"/>
        <v>-2.6672419211578369E-2</v>
      </c>
      <c r="AO270" s="538">
        <f t="shared" si="185"/>
        <v>-2.3329398529043144E-2</v>
      </c>
      <c r="AP270" s="538">
        <f t="shared" si="186"/>
        <v>-1.8895402606733391E-2</v>
      </c>
      <c r="AQ270" s="538">
        <f t="shared" si="187"/>
        <v>-1.2749387645052845E-2</v>
      </c>
      <c r="AR270" s="538">
        <f t="shared" si="188"/>
        <v>-1.3766242473801316E-2</v>
      </c>
      <c r="AS270" s="538">
        <f t="shared" si="189"/>
        <v>-5.3130705828593472E-3</v>
      </c>
      <c r="AT270" s="538">
        <f t="shared" si="190"/>
        <v>-6.0431070563475853E-3</v>
      </c>
      <c r="AU270" s="538">
        <f t="shared" si="191"/>
        <v>-2.6559796718634843E-3</v>
      </c>
      <c r="AV270" s="538">
        <f t="shared" si="192"/>
        <v>6.6017575027044195E-4</v>
      </c>
      <c r="AW270" s="539">
        <f t="shared" si="193"/>
        <v>3.7338511652829087E-3</v>
      </c>
      <c r="AX270" s="569">
        <f t="shared" si="194"/>
        <v>-1.0503098086172613E-2</v>
      </c>
    </row>
    <row r="271" spans="1:50">
      <c r="A271" s="384" t="s">
        <v>1211</v>
      </c>
      <c r="C271" s="416">
        <f>'ANTONIO ARAUJO &amp; CIA'!L64</f>
        <v>25970</v>
      </c>
      <c r="D271" s="416">
        <f>C271</f>
        <v>25970</v>
      </c>
      <c r="E271" s="416">
        <f t="shared" ref="E271:M271" si="225">D271</f>
        <v>25970</v>
      </c>
      <c r="F271" s="416">
        <f t="shared" si="225"/>
        <v>25970</v>
      </c>
      <c r="G271" s="416">
        <f t="shared" si="225"/>
        <v>25970</v>
      </c>
      <c r="H271" s="416">
        <f t="shared" si="225"/>
        <v>25970</v>
      </c>
      <c r="I271" s="416">
        <f t="shared" si="225"/>
        <v>25970</v>
      </c>
      <c r="J271" s="416">
        <f t="shared" si="225"/>
        <v>25970</v>
      </c>
      <c r="K271" s="416">
        <f t="shared" si="225"/>
        <v>25970</v>
      </c>
      <c r="L271" s="416">
        <f t="shared" si="225"/>
        <v>25970</v>
      </c>
      <c r="M271" s="416">
        <f t="shared" si="225"/>
        <v>25970</v>
      </c>
      <c r="O271" s="566">
        <f t="shared" si="170"/>
        <v>5.3888947681862229E-3</v>
      </c>
      <c r="P271" s="538">
        <f t="shared" si="171"/>
        <v>4.7472937393263307E-3</v>
      </c>
      <c r="Q271" s="538">
        <f t="shared" si="172"/>
        <v>4.1279763341229535E-3</v>
      </c>
      <c r="R271" s="538">
        <f t="shared" si="173"/>
        <v>3.5864604451532659E-3</v>
      </c>
      <c r="S271" s="538">
        <f t="shared" si="174"/>
        <v>3.1162867269263371E-3</v>
      </c>
      <c r="T271" s="538">
        <f t="shared" si="175"/>
        <v>2.7054945646714686E-3</v>
      </c>
      <c r="U271" s="538">
        <f t="shared" si="176"/>
        <v>2.3581914396303147E-3</v>
      </c>
      <c r="V271" s="538">
        <f t="shared" si="177"/>
        <v>2.0542466719690516E-3</v>
      </c>
      <c r="W271" s="538">
        <f t="shared" si="178"/>
        <v>1.788544333456829E-3</v>
      </c>
      <c r="X271" s="538">
        <f t="shared" si="179"/>
        <v>1.5564995366684814E-3</v>
      </c>
      <c r="Y271" s="539">
        <f t="shared" si="180"/>
        <v>1.3540215736715401E-3</v>
      </c>
      <c r="Z271" s="569">
        <f t="shared" si="181"/>
        <v>2.9803554667075264E-3</v>
      </c>
      <c r="AB271" s="566">
        <f t="shared" si="182"/>
        <v>0</v>
      </c>
      <c r="AC271" s="538">
        <f t="shared" si="182"/>
        <v>0</v>
      </c>
      <c r="AD271" s="538">
        <f t="shared" si="182"/>
        <v>0</v>
      </c>
      <c r="AE271" s="538">
        <f t="shared" si="182"/>
        <v>0</v>
      </c>
      <c r="AF271" s="538">
        <f t="shared" si="182"/>
        <v>0</v>
      </c>
      <c r="AG271" s="538">
        <f t="shared" si="182"/>
        <v>0</v>
      </c>
      <c r="AH271" s="538">
        <f t="shared" si="182"/>
        <v>0</v>
      </c>
      <c r="AI271" s="538">
        <f t="shared" si="182"/>
        <v>0</v>
      </c>
      <c r="AJ271" s="538">
        <f t="shared" si="182"/>
        <v>0</v>
      </c>
      <c r="AK271" s="539">
        <f t="shared" si="182"/>
        <v>0</v>
      </c>
      <c r="AL271" s="539">
        <f t="shared" si="183"/>
        <v>0</v>
      </c>
      <c r="AN271" s="566">
        <f t="shared" si="184"/>
        <v>-3.5168121954749498E-2</v>
      </c>
      <c r="AO271" s="538">
        <f t="shared" si="185"/>
        <v>-3.5168121954749498E-2</v>
      </c>
      <c r="AP271" s="538">
        <f t="shared" si="186"/>
        <v>-3.4888770930849744E-2</v>
      </c>
      <c r="AQ271" s="538">
        <f t="shared" si="187"/>
        <v>-3.3816425120772875E-2</v>
      </c>
      <c r="AR271" s="538">
        <f t="shared" si="188"/>
        <v>-3.3816425120772875E-2</v>
      </c>
      <c r="AS271" s="538">
        <f t="shared" si="189"/>
        <v>-2.9126213592232997E-2</v>
      </c>
      <c r="AT271" s="538">
        <f t="shared" si="190"/>
        <v>-2.9126213592232997E-2</v>
      </c>
      <c r="AU271" s="538">
        <f t="shared" si="191"/>
        <v>-2.9126213592232997E-2</v>
      </c>
      <c r="AV271" s="538">
        <f t="shared" si="192"/>
        <v>-2.9126213592232997E-2</v>
      </c>
      <c r="AW271" s="539">
        <f t="shared" si="193"/>
        <v>-2.9126213592232997E-2</v>
      </c>
      <c r="AX271" s="569">
        <f t="shared" si="194"/>
        <v>-3.1848893304305945E-2</v>
      </c>
    </row>
    <row r="272" spans="1:50">
      <c r="A272" s="384" t="s">
        <v>1212</v>
      </c>
      <c r="C272" s="416">
        <f>'ANTONIO ARAUJO &amp; CIA'!L65</f>
        <v>2023943</v>
      </c>
      <c r="D272" s="416">
        <f>C272</f>
        <v>2023943</v>
      </c>
      <c r="E272" s="416">
        <f t="shared" ref="E272:M272" si="226">D272</f>
        <v>2023943</v>
      </c>
      <c r="F272" s="416">
        <f t="shared" si="226"/>
        <v>2023943</v>
      </c>
      <c r="G272" s="416">
        <f t="shared" si="226"/>
        <v>2023943</v>
      </c>
      <c r="H272" s="416">
        <f t="shared" si="226"/>
        <v>2023943</v>
      </c>
      <c r="I272" s="416">
        <f t="shared" si="226"/>
        <v>2023943</v>
      </c>
      <c r="J272" s="416">
        <f t="shared" si="226"/>
        <v>2023943</v>
      </c>
      <c r="K272" s="416">
        <f t="shared" si="226"/>
        <v>2023943</v>
      </c>
      <c r="L272" s="416">
        <f t="shared" si="226"/>
        <v>2023943</v>
      </c>
      <c r="M272" s="416">
        <f t="shared" si="226"/>
        <v>2023943</v>
      </c>
      <c r="O272" s="566">
        <f t="shared" si="170"/>
        <v>0.41997750650008198</v>
      </c>
      <c r="P272" s="538">
        <f t="shared" si="171"/>
        <v>0.36997504553921262</v>
      </c>
      <c r="Q272" s="538">
        <f t="shared" si="172"/>
        <v>0.32170923394739359</v>
      </c>
      <c r="R272" s="538">
        <f t="shared" si="173"/>
        <v>0.27950679679417928</v>
      </c>
      <c r="S272" s="538">
        <f t="shared" si="174"/>
        <v>0.24286433218927497</v>
      </c>
      <c r="T272" s="538">
        <f t="shared" si="175"/>
        <v>0.21084970295359515</v>
      </c>
      <c r="U272" s="538">
        <f t="shared" si="176"/>
        <v>0.18378302105890251</v>
      </c>
      <c r="V272" s="538">
        <f t="shared" si="177"/>
        <v>0.16009542441297875</v>
      </c>
      <c r="W272" s="538">
        <f t="shared" si="178"/>
        <v>0.13938820885212225</v>
      </c>
      <c r="X272" s="538">
        <f t="shared" si="179"/>
        <v>0.12130405628584583</v>
      </c>
      <c r="Y272" s="539">
        <f t="shared" si="180"/>
        <v>0.10552416195154017</v>
      </c>
      <c r="Z272" s="569">
        <f t="shared" si="181"/>
        <v>0.23227068095319334</v>
      </c>
      <c r="AB272" s="566">
        <f t="shared" si="182"/>
        <v>0</v>
      </c>
      <c r="AC272" s="538">
        <f t="shared" si="182"/>
        <v>0</v>
      </c>
      <c r="AD272" s="538">
        <f t="shared" si="182"/>
        <v>0</v>
      </c>
      <c r="AE272" s="538">
        <f t="shared" si="182"/>
        <v>0</v>
      </c>
      <c r="AF272" s="538">
        <f t="shared" si="182"/>
        <v>0</v>
      </c>
      <c r="AG272" s="538">
        <f t="shared" si="182"/>
        <v>0</v>
      </c>
      <c r="AH272" s="538">
        <f t="shared" si="182"/>
        <v>0</v>
      </c>
      <c r="AI272" s="538">
        <f t="shared" si="182"/>
        <v>0</v>
      </c>
      <c r="AJ272" s="538">
        <f t="shared" si="182"/>
        <v>0</v>
      </c>
      <c r="AK272" s="539">
        <f t="shared" si="182"/>
        <v>0</v>
      </c>
      <c r="AL272" s="539">
        <f t="shared" si="183"/>
        <v>0</v>
      </c>
      <c r="AN272" s="566">
        <f t="shared" si="184"/>
        <v>-3.5168121954749498E-2</v>
      </c>
      <c r="AO272" s="538">
        <f t="shared" si="185"/>
        <v>-3.5168121954749498E-2</v>
      </c>
      <c r="AP272" s="538">
        <f t="shared" si="186"/>
        <v>-3.4888770930849744E-2</v>
      </c>
      <c r="AQ272" s="538">
        <f t="shared" si="187"/>
        <v>-3.3816425120772875E-2</v>
      </c>
      <c r="AR272" s="538">
        <f t="shared" si="188"/>
        <v>-3.3816425120772875E-2</v>
      </c>
      <c r="AS272" s="538">
        <f t="shared" si="189"/>
        <v>-2.9126213592232997E-2</v>
      </c>
      <c r="AT272" s="538">
        <f t="shared" si="190"/>
        <v>-2.9126213592232997E-2</v>
      </c>
      <c r="AU272" s="538">
        <f t="shared" si="191"/>
        <v>-2.9126213592232997E-2</v>
      </c>
      <c r="AV272" s="538">
        <f t="shared" si="192"/>
        <v>-2.9126213592232997E-2</v>
      </c>
      <c r="AW272" s="539">
        <f t="shared" si="193"/>
        <v>-2.9126213592232997E-2</v>
      </c>
      <c r="AX272" s="569">
        <f t="shared" si="194"/>
        <v>-3.1848893304305945E-2</v>
      </c>
    </row>
    <row r="273" spans="1:50">
      <c r="A273" s="384" t="s">
        <v>1213</v>
      </c>
      <c r="C273" s="416">
        <f>C232</f>
        <v>79722</v>
      </c>
      <c r="D273" s="416">
        <f>D232</f>
        <v>-413195.90710397594</v>
      </c>
      <c r="E273" s="416">
        <f>E232</f>
        <v>-475741.86717954167</v>
      </c>
      <c r="F273" s="416">
        <f t="shared" ref="F273:M273" si="227">F232</f>
        <v>-538832.63409164746</v>
      </c>
      <c r="G273" s="416">
        <f t="shared" si="227"/>
        <v>-571099.97229434166</v>
      </c>
      <c r="H273" s="416">
        <f t="shared" si="227"/>
        <v>-585686.36596001417</v>
      </c>
      <c r="I273" s="416">
        <f t="shared" si="227"/>
        <v>-549950.02090799296</v>
      </c>
      <c r="J273" s="416">
        <f t="shared" si="227"/>
        <v>-501603.70598524716</v>
      </c>
      <c r="K273" s="416">
        <f t="shared" si="227"/>
        <v>-414702.03602056194</v>
      </c>
      <c r="L273" s="416">
        <f t="shared" si="227"/>
        <v>-276033.56116546574</v>
      </c>
      <c r="M273" s="416">
        <f t="shared" si="227"/>
        <v>-71055.482303216355</v>
      </c>
      <c r="O273" s="566">
        <f t="shared" si="170"/>
        <v>1.6542682661122143E-2</v>
      </c>
      <c r="P273" s="538">
        <f t="shared" si="171"/>
        <v>-7.5531857639968003E-2</v>
      </c>
      <c r="Q273" s="538">
        <f t="shared" si="172"/>
        <v>-7.5619991100062123E-2</v>
      </c>
      <c r="R273" s="538">
        <f t="shared" si="173"/>
        <v>-7.4412858249034916E-2</v>
      </c>
      <c r="S273" s="538">
        <f t="shared" si="174"/>
        <v>-6.8529505714626709E-2</v>
      </c>
      <c r="T273" s="538">
        <f t="shared" si="175"/>
        <v>-6.1015451663727488E-2</v>
      </c>
      <c r="U273" s="538">
        <f t="shared" si="176"/>
        <v>-4.9937906489400906E-2</v>
      </c>
      <c r="V273" s="538">
        <f t="shared" si="177"/>
        <v>-3.9677233102331018E-2</v>
      </c>
      <c r="W273" s="538">
        <f t="shared" si="178"/>
        <v>-2.8560376457357945E-2</v>
      </c>
      <c r="X273" s="538">
        <f t="shared" si="179"/>
        <v>-1.654393954790136E-2</v>
      </c>
      <c r="Y273" s="539">
        <f t="shared" si="180"/>
        <v>-3.7046844807928875E-3</v>
      </c>
      <c r="Z273" s="569">
        <f t="shared" si="181"/>
        <v>-4.3362829253098284E-2</v>
      </c>
      <c r="AB273" s="566">
        <f t="shared" si="182"/>
        <v>-6.1829596234913318</v>
      </c>
      <c r="AC273" s="538">
        <f t="shared" si="182"/>
        <v>0.15137119947276423</v>
      </c>
      <c r="AD273" s="538">
        <f t="shared" si="182"/>
        <v>0.132615544825059</v>
      </c>
      <c r="AE273" s="538">
        <f t="shared" si="182"/>
        <v>5.9883786098237746E-2</v>
      </c>
      <c r="AF273" s="538">
        <f t="shared" si="182"/>
        <v>2.554087615706413E-2</v>
      </c>
      <c r="AG273" s="538">
        <f t="shared" si="182"/>
        <v>-6.1016180551590637E-2</v>
      </c>
      <c r="AH273" s="538">
        <f t="shared" si="182"/>
        <v>-8.7910379279418471E-2</v>
      </c>
      <c r="AI273" s="538">
        <f t="shared" si="182"/>
        <v>-0.17324766330024111</v>
      </c>
      <c r="AJ273" s="538">
        <f t="shared" si="182"/>
        <v>-0.33438098396078453</v>
      </c>
      <c r="AK273" s="539">
        <f t="shared" si="182"/>
        <v>-0.74258390174293765</v>
      </c>
      <c r="AL273" s="539">
        <f t="shared" si="183"/>
        <v>-0.72126873257731783</v>
      </c>
      <c r="AN273" s="566">
        <f t="shared" si="184"/>
        <v>-6.0006846673658458</v>
      </c>
      <c r="AO273" s="538">
        <f t="shared" si="185"/>
        <v>0.11087963671451995</v>
      </c>
      <c r="AP273" s="538">
        <f t="shared" si="186"/>
        <v>9.3099980528938087E-2</v>
      </c>
      <c r="AQ273" s="538">
        <f t="shared" si="187"/>
        <v>2.404230540892538E-2</v>
      </c>
      <c r="AR273" s="538">
        <f t="shared" si="188"/>
        <v>-9.139250089792994E-3</v>
      </c>
      <c r="AS273" s="538">
        <f t="shared" si="189"/>
        <v>-8.836522383649581E-2</v>
      </c>
      <c r="AT273" s="538">
        <f t="shared" si="190"/>
        <v>-0.114476096387785</v>
      </c>
      <c r="AU273" s="538">
        <f t="shared" si="191"/>
        <v>-0.19732782844683605</v>
      </c>
      <c r="AV273" s="538">
        <f t="shared" si="192"/>
        <v>-0.35376794559299474</v>
      </c>
      <c r="AW273" s="539">
        <f t="shared" si="193"/>
        <v>-0.75008145800285209</v>
      </c>
      <c r="AX273" s="569">
        <f t="shared" si="194"/>
        <v>-0.72858205470702175</v>
      </c>
    </row>
    <row r="274" spans="1:50">
      <c r="A274" s="384" t="s">
        <v>1214</v>
      </c>
      <c r="C274" s="416">
        <f>'ANTONIO ARAUJO &amp; CIA'!L68</f>
        <v>-25011</v>
      </c>
      <c r="D274" s="416">
        <f>D234</f>
        <v>54711</v>
      </c>
      <c r="E274" s="416">
        <f>E234</f>
        <v>-358484.90710397594</v>
      </c>
      <c r="F274" s="416">
        <f>F234</f>
        <v>-834226.77428351762</v>
      </c>
      <c r="G274" s="416">
        <f t="shared" ref="G274:M274" si="228">G234</f>
        <v>-1373059.408375165</v>
      </c>
      <c r="H274" s="416">
        <f t="shared" si="228"/>
        <v>-1944159.3806695067</v>
      </c>
      <c r="I274" s="416">
        <f t="shared" si="228"/>
        <v>-2529845.7466295208</v>
      </c>
      <c r="J274" s="416">
        <f t="shared" si="228"/>
        <v>-3079795.7675375137</v>
      </c>
      <c r="K274" s="416">
        <f t="shared" si="228"/>
        <v>-3581399.4735227609</v>
      </c>
      <c r="L274" s="416">
        <f t="shared" si="228"/>
        <v>-3996101.509543323</v>
      </c>
      <c r="M274" s="416">
        <f t="shared" si="228"/>
        <v>-4272135.0707087889</v>
      </c>
      <c r="O274" s="566">
        <f t="shared" si="170"/>
        <v>-5.1898978454796157E-3</v>
      </c>
      <c r="P274" s="538">
        <f t="shared" si="171"/>
        <v>1.0001123903437924E-2</v>
      </c>
      <c r="Q274" s="538">
        <f t="shared" si="172"/>
        <v>-5.6981794865825108E-2</v>
      </c>
      <c r="R274" s="538">
        <f t="shared" si="173"/>
        <v>-0.11520682819621246</v>
      </c>
      <c r="S274" s="538">
        <f t="shared" si="174"/>
        <v>-0.16476114014635562</v>
      </c>
      <c r="T274" s="538">
        <f t="shared" si="175"/>
        <v>-0.20253802992901035</v>
      </c>
      <c r="U274" s="538">
        <f t="shared" si="176"/>
        <v>-0.22972123924862911</v>
      </c>
      <c r="V274" s="538">
        <f t="shared" si="177"/>
        <v>-0.24361417812122865</v>
      </c>
      <c r="W274" s="538">
        <f t="shared" si="178"/>
        <v>-0.24664966246493664</v>
      </c>
      <c r="X274" s="538">
        <f t="shared" si="179"/>
        <v>-0.23950443388850215</v>
      </c>
      <c r="Y274" s="539">
        <f t="shared" si="180"/>
        <v>-0.22274020220941437</v>
      </c>
      <c r="Z274" s="569">
        <f t="shared" si="181"/>
        <v>-0.15608238936474148</v>
      </c>
      <c r="AB274" s="566">
        <f t="shared" si="182"/>
        <v>-3.187477509895646</v>
      </c>
      <c r="AC274" s="538">
        <f t="shared" si="182"/>
        <v>-7.5523369542500767</v>
      </c>
      <c r="AD274" s="538">
        <f t="shared" si="182"/>
        <v>1.3270903676889141</v>
      </c>
      <c r="AE274" s="538">
        <f t="shared" si="182"/>
        <v>0.6459066655519754</v>
      </c>
      <c r="AF274" s="538">
        <f t="shared" si="182"/>
        <v>0.41593245624394615</v>
      </c>
      <c r="AG274" s="538">
        <f t="shared" si="182"/>
        <v>0.30125429621841104</v>
      </c>
      <c r="AH274" s="538">
        <f t="shared" si="182"/>
        <v>0.2173848036548014</v>
      </c>
      <c r="AI274" s="538">
        <f t="shared" si="182"/>
        <v>0.16286914582855938</v>
      </c>
      <c r="AJ274" s="538">
        <f t="shared" si="182"/>
        <v>0.11579329228321189</v>
      </c>
      <c r="AK274" s="539">
        <f t="shared" si="182"/>
        <v>6.9075713043388554E-2</v>
      </c>
      <c r="AL274" s="539">
        <f t="shared" si="183"/>
        <v>-0.74845077236325142</v>
      </c>
      <c r="AN274" s="566">
        <f t="shared" si="184"/>
        <v>-3.1105480340543643</v>
      </c>
      <c r="AO274" s="538">
        <f t="shared" si="185"/>
        <v>-7.3219035691543981</v>
      </c>
      <c r="AP274" s="538">
        <f t="shared" si="186"/>
        <v>1.2459010449152288</v>
      </c>
      <c r="AQ274" s="538">
        <f t="shared" si="187"/>
        <v>0.59024798604055606</v>
      </c>
      <c r="AR274" s="538">
        <f t="shared" si="188"/>
        <v>0.36805068236130078</v>
      </c>
      <c r="AS274" s="538">
        <f t="shared" si="189"/>
        <v>0.26335368564894268</v>
      </c>
      <c r="AT274" s="538">
        <f t="shared" si="190"/>
        <v>0.18192699383961308</v>
      </c>
      <c r="AU274" s="538">
        <f t="shared" si="191"/>
        <v>0.12899917070733924</v>
      </c>
      <c r="AV274" s="538">
        <f t="shared" si="192"/>
        <v>8.3294458527390258E-2</v>
      </c>
      <c r="AW274" s="539">
        <f t="shared" si="193"/>
        <v>3.7937585479018043E-2</v>
      </c>
      <c r="AX274" s="569">
        <f t="shared" si="194"/>
        <v>-0.75327399956893737</v>
      </c>
    </row>
    <row r="275" spans="1:50">
      <c r="A275" s="384" t="s">
        <v>1215</v>
      </c>
      <c r="C275" s="416">
        <f>'ANTONIO ARAUJO &amp; CIA'!L63</f>
        <v>739398</v>
      </c>
      <c r="D275" s="416">
        <f>C275</f>
        <v>739398</v>
      </c>
      <c r="E275" s="416">
        <f t="shared" ref="E275:M275" si="229">D275</f>
        <v>739398</v>
      </c>
      <c r="F275" s="416">
        <f t="shared" si="229"/>
        <v>739398</v>
      </c>
      <c r="G275" s="416">
        <f t="shared" si="229"/>
        <v>739398</v>
      </c>
      <c r="H275" s="416">
        <f t="shared" si="229"/>
        <v>739398</v>
      </c>
      <c r="I275" s="416">
        <f t="shared" si="229"/>
        <v>739398</v>
      </c>
      <c r="J275" s="416">
        <f t="shared" si="229"/>
        <v>739398</v>
      </c>
      <c r="K275" s="416">
        <f t="shared" si="229"/>
        <v>739398</v>
      </c>
      <c r="L275" s="416">
        <f t="shared" si="229"/>
        <v>739398</v>
      </c>
      <c r="M275" s="416">
        <f t="shared" si="229"/>
        <v>739398</v>
      </c>
      <c r="O275" s="566">
        <f t="shared" si="170"/>
        <v>0.15342849494830021</v>
      </c>
      <c r="P275" s="538">
        <f t="shared" si="171"/>
        <v>0.1351613206111055</v>
      </c>
      <c r="Q275" s="538">
        <f t="shared" si="172"/>
        <v>0.11752858858289732</v>
      </c>
      <c r="R275" s="538">
        <f t="shared" si="173"/>
        <v>0.10211096188777183</v>
      </c>
      <c r="S275" s="538">
        <f t="shared" si="174"/>
        <v>8.8724534975582581E-2</v>
      </c>
      <c r="T275" s="538">
        <f t="shared" si="175"/>
        <v>7.7028774359990546E-2</v>
      </c>
      <c r="U275" s="538">
        <f t="shared" si="176"/>
        <v>6.7140625108963237E-2</v>
      </c>
      <c r="V275" s="538">
        <f t="shared" si="177"/>
        <v>5.8486941885274271E-2</v>
      </c>
      <c r="W275" s="538">
        <f t="shared" si="178"/>
        <v>5.0922067888691275E-2</v>
      </c>
      <c r="X275" s="538">
        <f t="shared" si="179"/>
        <v>4.4315465707108266E-2</v>
      </c>
      <c r="Y275" s="539">
        <f t="shared" si="180"/>
        <v>3.8550667829402752E-2</v>
      </c>
      <c r="Z275" s="569">
        <f t="shared" si="181"/>
        <v>8.4854403980462526E-2</v>
      </c>
      <c r="AB275" s="566">
        <f t="shared" si="182"/>
        <v>0</v>
      </c>
      <c r="AC275" s="538">
        <f t="shared" si="182"/>
        <v>0</v>
      </c>
      <c r="AD275" s="538">
        <f t="shared" si="182"/>
        <v>0</v>
      </c>
      <c r="AE275" s="538">
        <f t="shared" si="182"/>
        <v>0</v>
      </c>
      <c r="AF275" s="538">
        <f t="shared" si="182"/>
        <v>0</v>
      </c>
      <c r="AG275" s="538">
        <f t="shared" si="182"/>
        <v>0</v>
      </c>
      <c r="AH275" s="538">
        <f t="shared" si="182"/>
        <v>0</v>
      </c>
      <c r="AI275" s="538">
        <f t="shared" si="182"/>
        <v>0</v>
      </c>
      <c r="AJ275" s="538">
        <f t="shared" si="182"/>
        <v>0</v>
      </c>
      <c r="AK275" s="539">
        <f t="shared" si="182"/>
        <v>0</v>
      </c>
      <c r="AL275" s="539">
        <f t="shared" si="183"/>
        <v>0</v>
      </c>
      <c r="AN275" s="566">
        <f t="shared" si="184"/>
        <v>-3.5168121954749498E-2</v>
      </c>
      <c r="AO275" s="538">
        <f t="shared" si="185"/>
        <v>-3.5168121954749498E-2</v>
      </c>
      <c r="AP275" s="538">
        <f t="shared" si="186"/>
        <v>-3.4888770930849744E-2</v>
      </c>
      <c r="AQ275" s="538">
        <f t="shared" si="187"/>
        <v>-3.3816425120772875E-2</v>
      </c>
      <c r="AR275" s="538">
        <f t="shared" si="188"/>
        <v>-3.3816425120772875E-2</v>
      </c>
      <c r="AS275" s="538">
        <f t="shared" si="189"/>
        <v>-2.9126213592232997E-2</v>
      </c>
      <c r="AT275" s="538">
        <f t="shared" si="190"/>
        <v>-2.9126213592232997E-2</v>
      </c>
      <c r="AU275" s="538">
        <f t="shared" si="191"/>
        <v>-2.9126213592232997E-2</v>
      </c>
      <c r="AV275" s="538">
        <f t="shared" si="192"/>
        <v>-2.9126213592232997E-2</v>
      </c>
      <c r="AW275" s="539">
        <f t="shared" si="193"/>
        <v>-2.9126213592232997E-2</v>
      </c>
      <c r="AX275" s="569">
        <f t="shared" si="194"/>
        <v>-3.1848893304305945E-2</v>
      </c>
    </row>
    <row r="276" spans="1:50" ht="24" customHeight="1">
      <c r="A276" s="372" t="s">
        <v>1238</v>
      </c>
      <c r="B276" s="383"/>
      <c r="C276" s="421">
        <f>C269+C268</f>
        <v>4819170</v>
      </c>
      <c r="D276" s="421">
        <f>D269+D268</f>
        <v>5470485.170291</v>
      </c>
      <c r="E276" s="421">
        <f t="shared" ref="E276:L276" si="230">E269+E268</f>
        <v>6291218.2381776394</v>
      </c>
      <c r="F276" s="421">
        <f t="shared" si="230"/>
        <v>7241122.6603923067</v>
      </c>
      <c r="G276" s="421">
        <f t="shared" si="230"/>
        <v>8333636.2394402567</v>
      </c>
      <c r="H276" s="421">
        <f t="shared" si="230"/>
        <v>9598984.35543653</v>
      </c>
      <c r="I276" s="421">
        <f t="shared" si="230"/>
        <v>11012676.733349185</v>
      </c>
      <c r="J276" s="421">
        <f t="shared" si="230"/>
        <v>12642103.966563586</v>
      </c>
      <c r="K276" s="421">
        <f t="shared" si="230"/>
        <v>14520188.017820161</v>
      </c>
      <c r="L276" s="421">
        <f t="shared" si="230"/>
        <v>16684874.86709181</v>
      </c>
      <c r="M276" s="421">
        <f>M269+M268</f>
        <v>19179901.195798691</v>
      </c>
      <c r="N276" s="393"/>
      <c r="O276" s="567">
        <f t="shared" si="170"/>
        <v>1</v>
      </c>
      <c r="P276" s="543">
        <f t="shared" si="171"/>
        <v>1</v>
      </c>
      <c r="Q276" s="543">
        <f t="shared" si="172"/>
        <v>0.99999999999999989</v>
      </c>
      <c r="R276" s="543">
        <f t="shared" si="173"/>
        <v>0.99999999999999978</v>
      </c>
      <c r="S276" s="543">
        <f t="shared" si="174"/>
        <v>0.99999999999999944</v>
      </c>
      <c r="T276" s="543">
        <f t="shared" si="175"/>
        <v>0.99999999999999967</v>
      </c>
      <c r="U276" s="543">
        <f t="shared" si="176"/>
        <v>0.99999999999999944</v>
      </c>
      <c r="V276" s="543">
        <f t="shared" si="177"/>
        <v>0.99999999999999967</v>
      </c>
      <c r="W276" s="543">
        <f t="shared" si="178"/>
        <v>0.99999999999999978</v>
      </c>
      <c r="X276" s="543">
        <f t="shared" si="179"/>
        <v>0.99999999999999967</v>
      </c>
      <c r="Y276" s="544">
        <f t="shared" si="180"/>
        <v>1</v>
      </c>
      <c r="Z276" s="570">
        <f t="shared" si="181"/>
        <v>0.99999999999999989</v>
      </c>
      <c r="AB276" s="567">
        <f t="shared" si="182"/>
        <v>0.13515090156416987</v>
      </c>
      <c r="AC276" s="543">
        <f t="shared" si="182"/>
        <v>0.15002930130290082</v>
      </c>
      <c r="AD276" s="543">
        <f t="shared" si="182"/>
        <v>0.15098894780827443</v>
      </c>
      <c r="AE276" s="543">
        <f t="shared" si="182"/>
        <v>0.15087627019824024</v>
      </c>
      <c r="AF276" s="543">
        <f t="shared" si="182"/>
        <v>0.1518362548640908</v>
      </c>
      <c r="AG276" s="543">
        <f t="shared" si="182"/>
        <v>0.14727520387216697</v>
      </c>
      <c r="AH276" s="543">
        <f t="shared" si="182"/>
        <v>0.14795923576691217</v>
      </c>
      <c r="AI276" s="543">
        <f t="shared" si="182"/>
        <v>0.14855787108093854</v>
      </c>
      <c r="AJ276" s="543">
        <f t="shared" si="182"/>
        <v>0.14908118590578856</v>
      </c>
      <c r="AK276" s="544">
        <f t="shared" si="182"/>
        <v>0.14953821042002025</v>
      </c>
      <c r="AL276" s="544">
        <f t="shared" si="183"/>
        <v>0.14812933827835026</v>
      </c>
      <c r="AN276" s="567">
        <f t="shared" si="184"/>
        <v>9.5229776220917328E-2</v>
      </c>
      <c r="AO276" s="543">
        <f t="shared" si="185"/>
        <v>0.10958493058314511</v>
      </c>
      <c r="AP276" s="543">
        <f t="shared" si="186"/>
        <v>0.11083235806425185</v>
      </c>
      <c r="AQ276" s="543">
        <f t="shared" si="187"/>
        <v>0.11195774898380706</v>
      </c>
      <c r="AR276" s="543">
        <f t="shared" si="188"/>
        <v>0.11288527040008778</v>
      </c>
      <c r="AS276" s="543">
        <f t="shared" si="189"/>
        <v>0.11385942123511361</v>
      </c>
      <c r="AT276" s="543">
        <f t="shared" si="190"/>
        <v>0.11452352987078851</v>
      </c>
      <c r="AU276" s="543">
        <f t="shared" si="191"/>
        <v>0.11510472920479464</v>
      </c>
      <c r="AV276" s="543">
        <f t="shared" si="192"/>
        <v>0.11561280185028022</v>
      </c>
      <c r="AW276" s="544">
        <f t="shared" si="193"/>
        <v>0.11605651497089342</v>
      </c>
      <c r="AX276" s="570">
        <f t="shared" si="194"/>
        <v>0.11156470813840795</v>
      </c>
    </row>
    <row r="277" spans="1:50" ht="14.25" customHeight="1">
      <c r="A277" s="370"/>
      <c r="B277" s="383"/>
      <c r="C277" s="393"/>
      <c r="D277" s="393"/>
      <c r="E277" s="393"/>
      <c r="F277" s="393"/>
      <c r="G277" s="393"/>
      <c r="H277" s="393"/>
      <c r="I277" s="393"/>
      <c r="J277" s="393"/>
      <c r="K277" s="393"/>
      <c r="L277" s="393"/>
      <c r="M277" s="393"/>
      <c r="N277" s="393"/>
      <c r="O277" s="393"/>
      <c r="P277" s="393"/>
      <c r="Q277" s="393"/>
    </row>
    <row r="278" spans="1:50">
      <c r="AN278" s="390"/>
      <c r="AO278" s="390"/>
      <c r="AP278" s="390"/>
      <c r="AQ278" s="390"/>
      <c r="AR278" s="390"/>
      <c r="AS278" s="390"/>
      <c r="AT278" s="390"/>
      <c r="AU278" s="390"/>
      <c r="AV278" s="390"/>
      <c r="AW278" s="390"/>
    </row>
    <row r="279" spans="1:50">
      <c r="A279" s="412" t="s">
        <v>300</v>
      </c>
      <c r="B279" s="383"/>
      <c r="C279" s="434">
        <f t="shared" ref="C279:M279" si="231">C253-C276</f>
        <v>0</v>
      </c>
      <c r="D279" s="434">
        <f t="shared" si="231"/>
        <v>0</v>
      </c>
      <c r="E279" s="434">
        <f t="shared" si="231"/>
        <v>0</v>
      </c>
      <c r="F279" s="434">
        <f t="shared" si="231"/>
        <v>0</v>
      </c>
      <c r="G279" s="434">
        <f t="shared" si="231"/>
        <v>0</v>
      </c>
      <c r="H279" s="434">
        <f t="shared" si="231"/>
        <v>0</v>
      </c>
      <c r="I279" s="434">
        <f t="shared" si="231"/>
        <v>0</v>
      </c>
      <c r="J279" s="434">
        <f t="shared" si="231"/>
        <v>0</v>
      </c>
      <c r="K279" s="434">
        <f t="shared" si="231"/>
        <v>0</v>
      </c>
      <c r="L279" s="434">
        <f t="shared" si="231"/>
        <v>0</v>
      </c>
      <c r="M279" s="415">
        <f t="shared" si="231"/>
        <v>0</v>
      </c>
      <c r="N279" s="394"/>
      <c r="O279" s="394"/>
      <c r="P279" s="393"/>
      <c r="Q279" s="393"/>
      <c r="AB279" s="390"/>
      <c r="AC279" s="390"/>
      <c r="AD279" s="390"/>
      <c r="AE279" s="390"/>
      <c r="AF279" s="390"/>
      <c r="AG279" s="390"/>
      <c r="AH279" s="390"/>
      <c r="AI279" s="390"/>
      <c r="AJ279" s="390"/>
      <c r="AK279" s="390"/>
    </row>
    <row r="280" spans="1:50">
      <c r="AB280" s="390"/>
      <c r="AC280" s="390"/>
      <c r="AD280" s="390"/>
      <c r="AE280" s="390"/>
      <c r="AF280" s="390"/>
      <c r="AG280" s="390"/>
      <c r="AH280" s="390"/>
      <c r="AI280" s="390"/>
      <c r="AJ280" s="390"/>
      <c r="AK280" s="390"/>
      <c r="AN280" s="390"/>
      <c r="AO280" s="390"/>
      <c r="AP280" s="390"/>
      <c r="AQ280" s="390"/>
      <c r="AR280" s="390"/>
      <c r="AS280" s="390"/>
      <c r="AT280" s="390"/>
      <c r="AU280" s="390"/>
      <c r="AV280" s="390"/>
      <c r="AW280" s="390"/>
    </row>
    <row r="284" spans="1:50" ht="22.5">
      <c r="A284" s="724"/>
      <c r="B284" s="725"/>
      <c r="C284" s="726" t="s">
        <v>1216</v>
      </c>
      <c r="D284" s="727"/>
      <c r="E284" s="727"/>
      <c r="F284" s="727"/>
      <c r="G284" s="727"/>
      <c r="H284" s="727"/>
      <c r="I284" s="727"/>
      <c r="J284" s="727"/>
      <c r="K284" s="727"/>
      <c r="L284" s="727"/>
      <c r="M284" s="728"/>
      <c r="N284" s="545" t="s">
        <v>1262</v>
      </c>
      <c r="O284" s="545" t="s">
        <v>1263</v>
      </c>
      <c r="P284" s="545" t="s">
        <v>1264</v>
      </c>
    </row>
    <row r="285" spans="1:50">
      <c r="A285" s="722" t="s">
        <v>241</v>
      </c>
      <c r="B285" s="723"/>
      <c r="C285" s="528"/>
      <c r="D285" s="529">
        <f t="shared" ref="D285:M285" si="232">D238/D254</f>
        <v>1.7785222252149664</v>
      </c>
      <c r="E285" s="529">
        <f t="shared" si="232"/>
        <v>1.4271713977326952</v>
      </c>
      <c r="F285" s="529">
        <f t="shared" si="232"/>
        <v>1.222401211730983</v>
      </c>
      <c r="G285" s="529">
        <f t="shared" si="232"/>
        <v>1.0959755277192416</v>
      </c>
      <c r="H285" s="529">
        <f t="shared" si="232"/>
        <v>1.0139864817833182</v>
      </c>
      <c r="I285" s="529">
        <f t="shared" si="232"/>
        <v>0.96322434272521174</v>
      </c>
      <c r="J285" s="529">
        <f t="shared" si="232"/>
        <v>0.93219135474858761</v>
      </c>
      <c r="K285" s="529">
        <f t="shared" si="232"/>
        <v>0.91637332274850503</v>
      </c>
      <c r="L285" s="529">
        <f t="shared" si="232"/>
        <v>0.91321249537857907</v>
      </c>
      <c r="M285" s="530">
        <f t="shared" si="232"/>
        <v>0.92142485651202355</v>
      </c>
      <c r="N285" s="546">
        <f>AVERAGE(D285:M285)</f>
        <v>1.1184483216294112</v>
      </c>
      <c r="O285" s="549">
        <f>'ANTONIO ARAUJO &amp; CIA'!M90</f>
        <v>3.40580520625014</v>
      </c>
      <c r="P285" s="546">
        <f>'SUBSECTOR 29'!M158</f>
        <v>1.0469582458166824</v>
      </c>
    </row>
    <row r="286" spans="1:50">
      <c r="A286" s="722" t="s">
        <v>242</v>
      </c>
      <c r="B286" s="723"/>
      <c r="C286" s="531"/>
      <c r="D286" s="532">
        <f t="shared" ref="D286:M286" si="233">(D238-D248)/D254</f>
        <v>1.3271480138230254</v>
      </c>
      <c r="E286" s="532">
        <f t="shared" si="233"/>
        <v>1.0647818893997107</v>
      </c>
      <c r="F286" s="532">
        <f t="shared" si="233"/>
        <v>0.91187058594434756</v>
      </c>
      <c r="G286" s="532">
        <f t="shared" si="233"/>
        <v>0.81745620597101265</v>
      </c>
      <c r="H286" s="532">
        <f t="shared" si="233"/>
        <v>0.75621900637991735</v>
      </c>
      <c r="I286" s="532">
        <f t="shared" si="233"/>
        <v>0.71829442001988242</v>
      </c>
      <c r="J286" s="532">
        <f t="shared" si="233"/>
        <v>0.69509643188423942</v>
      </c>
      <c r="K286" s="532">
        <f t="shared" si="233"/>
        <v>0.68325370680898623</v>
      </c>
      <c r="L286" s="532">
        <f t="shared" si="233"/>
        <v>0.68085556537131686</v>
      </c>
      <c r="M286" s="533">
        <f t="shared" si="233"/>
        <v>0.68694211968629393</v>
      </c>
      <c r="N286" s="547">
        <f t="shared" ref="N286:N304" si="234">AVERAGE(D286:M286)</f>
        <v>0.83419179452887326</v>
      </c>
      <c r="O286" s="550">
        <f>'ANTONIO ARAUJO &amp; CIA'!M91</f>
        <v>2.6025496865307254</v>
      </c>
      <c r="P286" s="547">
        <f>'SUBSECTOR 29'!M159</f>
        <v>0.58208062990168041</v>
      </c>
    </row>
    <row r="287" spans="1:50">
      <c r="A287" s="729" t="s">
        <v>243</v>
      </c>
      <c r="B287" s="730"/>
      <c r="C287" s="531"/>
      <c r="D287" s="534">
        <f t="shared" ref="D287:M287" si="235">D238-D254</f>
        <v>2256275.4928960241</v>
      </c>
      <c r="E287" s="534">
        <f t="shared" si="235"/>
        <v>1788445.0001409198</v>
      </c>
      <c r="F287" s="534">
        <f t="shared" si="235"/>
        <v>1259932.3012824375</v>
      </c>
      <c r="G287" s="534">
        <f t="shared" si="235"/>
        <v>702106.28166298755</v>
      </c>
      <c r="H287" s="534">
        <f t="shared" si="235"/>
        <v>128044.5870815292</v>
      </c>
      <c r="I287" s="534">
        <f t="shared" si="235"/>
        <v>-408394.1477473136</v>
      </c>
      <c r="J287" s="534">
        <f t="shared" si="235"/>
        <v>-896610.41592123732</v>
      </c>
      <c r="K287" s="534">
        <f t="shared" si="235"/>
        <v>-1296244.8460151404</v>
      </c>
      <c r="L287" s="534">
        <f t="shared" si="235"/>
        <v>-1555616.8763448633</v>
      </c>
      <c r="M287" s="535">
        <f t="shared" si="235"/>
        <v>-1608627.3073372729</v>
      </c>
      <c r="N287" s="548">
        <f t="shared" si="234"/>
        <v>36931.006969807109</v>
      </c>
      <c r="O287" s="551">
        <f>'ANTONIO ARAUJO &amp; CIA'!M92</f>
        <v>2506489.0909090908</v>
      </c>
      <c r="P287" s="548">
        <f>'SUBSECTOR 29'!M160</f>
        <v>8309471.3636363633</v>
      </c>
    </row>
    <row r="288" spans="1:50">
      <c r="A288" s="724"/>
      <c r="B288" s="725"/>
      <c r="C288" s="726" t="s">
        <v>244</v>
      </c>
      <c r="D288" s="727"/>
      <c r="E288" s="727"/>
      <c r="F288" s="727"/>
      <c r="G288" s="727"/>
      <c r="H288" s="727"/>
      <c r="I288" s="727"/>
      <c r="J288" s="727"/>
      <c r="K288" s="727"/>
      <c r="L288" s="727"/>
      <c r="M288" s="728"/>
      <c r="N288" s="556"/>
      <c r="O288" s="557"/>
      <c r="P288" s="558"/>
    </row>
    <row r="289" spans="1:16">
      <c r="A289" s="722" t="s">
        <v>245</v>
      </c>
      <c r="B289" s="723"/>
      <c r="C289" s="531"/>
      <c r="D289" s="536">
        <f t="shared" ref="D289:M289" si="236">((AVERAGE(C265:D265)/D220))*360</f>
        <v>5.5386063681094067</v>
      </c>
      <c r="E289" s="536">
        <f t="shared" si="236"/>
        <v>4.7753951654774793</v>
      </c>
      <c r="F289" s="536">
        <f t="shared" si="236"/>
        <v>4.1185453713173663</v>
      </c>
      <c r="G289" s="536">
        <f t="shared" si="236"/>
        <v>3.5559911831429707</v>
      </c>
      <c r="H289" s="536">
        <f t="shared" si="236"/>
        <v>3.0702765550803832</v>
      </c>
      <c r="I289" s="536">
        <f t="shared" si="236"/>
        <v>2.6637744082861721</v>
      </c>
      <c r="J289" s="536">
        <f t="shared" si="236"/>
        <v>2.311092818820867</v>
      </c>
      <c r="K289" s="536">
        <f t="shared" si="236"/>
        <v>2.0051059881762994</v>
      </c>
      <c r="L289" s="536">
        <f t="shared" si="236"/>
        <v>1.7396315678362544</v>
      </c>
      <c r="M289" s="537">
        <f t="shared" si="236"/>
        <v>1.5093057472562565</v>
      </c>
      <c r="N289" s="546">
        <f t="shared" si="234"/>
        <v>3.1287725173503462</v>
      </c>
      <c r="O289" s="546">
        <f>'ANTONIO ARAUJO &amp; CIA'!M95</f>
        <v>242.23959929590973</v>
      </c>
      <c r="P289" s="546">
        <f>'SUBSECTOR 29'!M163</f>
        <v>66.435561972448326</v>
      </c>
    </row>
    <row r="290" spans="1:16">
      <c r="A290" s="722" t="s">
        <v>246</v>
      </c>
      <c r="B290" s="723"/>
      <c r="C290" s="531"/>
      <c r="D290" s="536">
        <f t="shared" ref="D290:M290" si="237">(AVERAGE(C248:D248)/D221)*360</f>
        <v>89.638205725279391</v>
      </c>
      <c r="E290" s="536">
        <f t="shared" si="237"/>
        <v>107.27636460105965</v>
      </c>
      <c r="F290" s="536">
        <f t="shared" si="237"/>
        <v>107.29074545895466</v>
      </c>
      <c r="G290" s="536">
        <f t="shared" si="237"/>
        <v>107.34594931141868</v>
      </c>
      <c r="H290" s="536">
        <f t="shared" si="237"/>
        <v>107.34594931141868</v>
      </c>
      <c r="I290" s="536">
        <f t="shared" si="237"/>
        <v>107.58739917098211</v>
      </c>
      <c r="J290" s="536">
        <f t="shared" si="237"/>
        <v>107.58739917098214</v>
      </c>
      <c r="K290" s="536">
        <f t="shared" si="237"/>
        <v>107.58739917098211</v>
      </c>
      <c r="L290" s="536">
        <f t="shared" si="237"/>
        <v>107.58739917098211</v>
      </c>
      <c r="M290" s="537">
        <f t="shared" si="237"/>
        <v>107.5873991709821</v>
      </c>
      <c r="N290" s="547">
        <f t="shared" si="234"/>
        <v>105.68342102630416</v>
      </c>
      <c r="O290" s="547">
        <f>'ANTONIO ARAUJO &amp; CIA'!M96</f>
        <v>159.4610832105962</v>
      </c>
      <c r="P290" s="547">
        <f>'SUBSECTOR 29'!M164</f>
        <v>99.054716096667278</v>
      </c>
    </row>
    <row r="291" spans="1:16" ht="30" customHeight="1">
      <c r="A291" s="722" t="s">
        <v>247</v>
      </c>
      <c r="B291" s="723"/>
      <c r="C291" s="531"/>
      <c r="D291" s="536">
        <f t="shared" ref="D291:M291" si="238">(AVERAGE(C256:D256)/D113)*360</f>
        <v>113.20721033317261</v>
      </c>
      <c r="E291" s="536">
        <f t="shared" si="238"/>
        <v>112.37999540014651</v>
      </c>
      <c r="F291" s="536">
        <f t="shared" si="238"/>
        <v>107.71835170890671</v>
      </c>
      <c r="G291" s="536">
        <f t="shared" si="238"/>
        <v>107.78462965365493</v>
      </c>
      <c r="H291" s="536">
        <f t="shared" si="238"/>
        <v>107.76995656994308</v>
      </c>
      <c r="I291" s="536">
        <f t="shared" si="238"/>
        <v>108.07693159590731</v>
      </c>
      <c r="J291" s="536">
        <f t="shared" si="238"/>
        <v>108.01236013566573</v>
      </c>
      <c r="K291" s="536">
        <f t="shared" si="238"/>
        <v>108.01236013566573</v>
      </c>
      <c r="L291" s="536">
        <f t="shared" si="238"/>
        <v>108.01236013566574</v>
      </c>
      <c r="M291" s="537">
        <f t="shared" si="238"/>
        <v>108.01236013566573</v>
      </c>
      <c r="N291" s="547">
        <f t="shared" si="234"/>
        <v>108.89865158043942</v>
      </c>
      <c r="O291" s="547">
        <f>'ANTONIO ARAUJO &amp; CIA'!M97</f>
        <v>147.5757763542164</v>
      </c>
      <c r="P291" s="547">
        <f>'SUBSECTOR 29'!M165</f>
        <v>413.79948534313451</v>
      </c>
    </row>
    <row r="292" spans="1:16">
      <c r="A292" s="722" t="s">
        <v>248</v>
      </c>
      <c r="B292" s="723"/>
      <c r="C292" s="531"/>
      <c r="D292" s="536">
        <f t="shared" ref="D292:M292" si="239">C254/D220</f>
        <v>0.33952424598640318</v>
      </c>
      <c r="E292" s="536">
        <f t="shared" si="239"/>
        <v>0.46118527190466718</v>
      </c>
      <c r="F292" s="536">
        <f t="shared" si="239"/>
        <v>0.57459558004934552</v>
      </c>
      <c r="G292" s="536">
        <f t="shared" si="239"/>
        <v>0.67129859737642938</v>
      </c>
      <c r="H292" s="536">
        <f t="shared" si="239"/>
        <v>0.74845354435205813</v>
      </c>
      <c r="I292" s="536">
        <f t="shared" si="239"/>
        <v>0.81263436746247875</v>
      </c>
      <c r="J292" s="536">
        <f t="shared" si="239"/>
        <v>0.85522710746474628</v>
      </c>
      <c r="K292" s="536">
        <f t="shared" si="239"/>
        <v>0.88348880185295897</v>
      </c>
      <c r="L292" s="536">
        <f t="shared" si="239"/>
        <v>0.89855462605595737</v>
      </c>
      <c r="M292" s="537">
        <f t="shared" si="239"/>
        <v>0.90150403226749354</v>
      </c>
      <c r="N292" s="547">
        <f t="shared" si="234"/>
        <v>0.71464661747725378</v>
      </c>
      <c r="O292" s="547">
        <f>'ANTONIO ARAUJO &amp; CIA'!M98</f>
        <v>0.78762090795757334</v>
      </c>
      <c r="P292" s="547">
        <f>'SUBSECTOR 29'!M166</f>
        <v>1.7517059580139258</v>
      </c>
    </row>
    <row r="293" spans="1:16">
      <c r="A293" s="722" t="s">
        <v>249</v>
      </c>
      <c r="B293" s="723"/>
      <c r="C293" s="531"/>
      <c r="D293" s="536">
        <f t="shared" ref="D293:M293" si="240">C251/D220</f>
        <v>5.4619867320354197E-2</v>
      </c>
      <c r="E293" s="536">
        <f t="shared" si="240"/>
        <v>4.709333594141573E-2</v>
      </c>
      <c r="F293" s="536">
        <f t="shared" si="240"/>
        <v>4.0615704887329129E-2</v>
      </c>
      <c r="G293" s="536">
        <f t="shared" si="240"/>
        <v>3.5067985284882718E-2</v>
      </c>
      <c r="H293" s="536">
        <f t="shared" si="240"/>
        <v>3.0278031499199706E-2</v>
      </c>
      <c r="I293" s="536">
        <f t="shared" si="240"/>
        <v>2.6269244478121338E-2</v>
      </c>
      <c r="J293" s="536">
        <f t="shared" si="240"/>
        <v>2.2791217634790695E-2</v>
      </c>
      <c r="K293" s="536">
        <f t="shared" si="240"/>
        <v>1.9773678748508199E-2</v>
      </c>
      <c r="L293" s="536">
        <f t="shared" si="240"/>
        <v>1.7155659584082401E-2</v>
      </c>
      <c r="M293" s="537">
        <f t="shared" si="240"/>
        <v>1.4884264051630892E-2</v>
      </c>
      <c r="N293" s="547">
        <f t="shared" si="234"/>
        <v>3.0854898943031499E-2</v>
      </c>
      <c r="O293" s="547">
        <f>'ANTONIO ARAUJO &amp; CIA'!M99</f>
        <v>33.241070795888881</v>
      </c>
      <c r="P293" s="547">
        <f>'SUBSECTOR 29'!M167</f>
        <v>9.7075437790253112</v>
      </c>
    </row>
    <row r="294" spans="1:16">
      <c r="A294" s="729" t="s">
        <v>250</v>
      </c>
      <c r="B294" s="730"/>
      <c r="C294" s="531"/>
      <c r="D294" s="536">
        <f>D289+D290-D291</f>
        <v>-18.030398239783807</v>
      </c>
      <c r="E294" s="536">
        <f t="shared" ref="E294:M294" si="241">E289+E290-E291</f>
        <v>-0.32823563360938124</v>
      </c>
      <c r="F294" s="536">
        <f t="shared" si="241"/>
        <v>3.690939121365318</v>
      </c>
      <c r="G294" s="536">
        <f t="shared" si="241"/>
        <v>3.1173108409067112</v>
      </c>
      <c r="H294" s="536">
        <f t="shared" si="241"/>
        <v>2.6462692965559853</v>
      </c>
      <c r="I294" s="536">
        <f t="shared" si="241"/>
        <v>2.1742419833609716</v>
      </c>
      <c r="J294" s="536">
        <f t="shared" si="241"/>
        <v>1.8861318541372754</v>
      </c>
      <c r="K294" s="536">
        <f t="shared" si="241"/>
        <v>1.5801450234926762</v>
      </c>
      <c r="L294" s="536">
        <f t="shared" si="241"/>
        <v>1.3146706031526207</v>
      </c>
      <c r="M294" s="537">
        <f t="shared" si="241"/>
        <v>1.0843447825726287</v>
      </c>
      <c r="N294" s="548">
        <f t="shared" si="234"/>
        <v>-8.6458036784900119E-2</v>
      </c>
      <c r="O294" s="548">
        <f>'ANTONIO ARAUJO &amp; CIA'!M100</f>
        <v>254.12490615228953</v>
      </c>
      <c r="P294" s="548">
        <f>'SUBSECTOR 29'!M168</f>
        <v>-248.30920727401889</v>
      </c>
    </row>
    <row r="295" spans="1:16">
      <c r="A295" s="724"/>
      <c r="B295" s="725"/>
      <c r="C295" s="726" t="s">
        <v>251</v>
      </c>
      <c r="D295" s="727"/>
      <c r="E295" s="727"/>
      <c r="F295" s="727"/>
      <c r="G295" s="727"/>
      <c r="H295" s="727"/>
      <c r="I295" s="727"/>
      <c r="J295" s="727"/>
      <c r="K295" s="727"/>
      <c r="L295" s="727"/>
      <c r="M295" s="728"/>
      <c r="N295" s="556"/>
      <c r="O295" s="557"/>
      <c r="P295" s="558"/>
    </row>
    <row r="296" spans="1:16">
      <c r="A296" s="733" t="s">
        <v>252</v>
      </c>
      <c r="B296" s="734"/>
      <c r="C296" s="531"/>
      <c r="D296" s="536">
        <f>D268/D269</f>
        <v>1.1306166478235529</v>
      </c>
      <c r="E296" s="536">
        <f t="shared" ref="E296:M296" si="242">E268/E269</f>
        <v>2.0051262882502976</v>
      </c>
      <c r="F296" s="536">
        <f t="shared" si="242"/>
        <v>3.6508188321283104</v>
      </c>
      <c r="G296" s="536">
        <f t="shared" si="242"/>
        <v>7.4269689454051981</v>
      </c>
      <c r="H296" s="536">
        <f t="shared" si="242"/>
        <v>22.62991394450755</v>
      </c>
      <c r="I296" s="536">
        <f t="shared" si="242"/>
        <v>-79.589717245860243</v>
      </c>
      <c r="J296" s="536">
        <f t="shared" si="242"/>
        <v>-20.810315649644153</v>
      </c>
      <c r="K296" s="536">
        <f t="shared" si="242"/>
        <v>-14.846383705822486</v>
      </c>
      <c r="L296" s="536">
        <f t="shared" si="242"/>
        <v>-13.641540718737248</v>
      </c>
      <c r="M296" s="537">
        <f t="shared" si="242"/>
        <v>-14.844462049687531</v>
      </c>
      <c r="N296" s="546">
        <f t="shared" si="234"/>
        <v>-10.688897471163676</v>
      </c>
      <c r="O296" s="552">
        <f>'ANTONIO ARAUJO &amp; CIA'!M103</f>
        <v>0.45070185455955636</v>
      </c>
      <c r="P296" s="552">
        <f>'SUBSECTOR 29'!M171</f>
        <v>3.6010486678803204</v>
      </c>
    </row>
    <row r="297" spans="1:16">
      <c r="A297" s="733" t="s">
        <v>253</v>
      </c>
      <c r="B297" s="735"/>
      <c r="C297" s="531"/>
      <c r="D297" s="538">
        <f t="shared" ref="D297:M297" si="243">D268/D253</f>
        <v>0.53065231090655818</v>
      </c>
      <c r="E297" s="538">
        <f t="shared" si="243"/>
        <v>0.66723528262027232</v>
      </c>
      <c r="F297" s="538">
        <f t="shared" si="243"/>
        <v>0.78498409933925972</v>
      </c>
      <c r="G297" s="538">
        <f t="shared" si="243"/>
        <v>0.88133337069608486</v>
      </c>
      <c r="H297" s="538">
        <f t="shared" si="243"/>
        <v>0.95768075997447955</v>
      </c>
      <c r="I297" s="538">
        <f t="shared" si="243"/>
        <v>1.0127243109537034</v>
      </c>
      <c r="J297" s="538">
        <f t="shared" si="243"/>
        <v>1.050478751458862</v>
      </c>
      <c r="K297" s="538">
        <f t="shared" si="243"/>
        <v>1.0722210232827429</v>
      </c>
      <c r="L297" s="538">
        <f t="shared" si="243"/>
        <v>1.07910428184737</v>
      </c>
      <c r="M297" s="539">
        <f t="shared" si="243"/>
        <v>1.0722310477944912</v>
      </c>
      <c r="N297" s="547">
        <f t="shared" si="234"/>
        <v>0.91086452388738226</v>
      </c>
      <c r="O297" s="553">
        <f>'ANTONIO ARAUJO &amp; CIA'!M104</f>
        <v>0.30851061308507566</v>
      </c>
      <c r="P297" s="553">
        <f>'SUBSECTOR 29'!M172</f>
        <v>0.69195889230652208</v>
      </c>
    </row>
    <row r="298" spans="1:16" ht="30" customHeight="1">
      <c r="A298" s="733" t="s">
        <v>254</v>
      </c>
      <c r="B298" s="735"/>
      <c r="C298" s="531"/>
      <c r="D298" s="536">
        <f>IF(D231=0,0,D230/D231)</f>
        <v>0</v>
      </c>
      <c r="E298" s="536">
        <f t="shared" ref="E298:M298" si="244">IF(E231=0,0,E230/E231)</f>
        <v>0</v>
      </c>
      <c r="F298" s="536">
        <f t="shared" si="244"/>
        <v>0</v>
      </c>
      <c r="G298" s="536">
        <f t="shared" si="244"/>
        <v>0</v>
      </c>
      <c r="H298" s="536">
        <f t="shared" si="244"/>
        <v>0</v>
      </c>
      <c r="I298" s="536">
        <f t="shared" si="244"/>
        <v>0</v>
      </c>
      <c r="J298" s="536">
        <f t="shared" si="244"/>
        <v>0</v>
      </c>
      <c r="K298" s="536">
        <f t="shared" si="244"/>
        <v>0</v>
      </c>
      <c r="L298" s="536">
        <f t="shared" si="244"/>
        <v>0</v>
      </c>
      <c r="M298" s="537">
        <f t="shared" si="244"/>
        <v>0</v>
      </c>
      <c r="N298" s="547">
        <f t="shared" si="234"/>
        <v>0</v>
      </c>
      <c r="O298" s="554">
        <f>'ANTONIO ARAUJO &amp; CIA'!M105</f>
        <v>3.358954204461035</v>
      </c>
      <c r="P298" s="553">
        <f>'SUBSECTOR 29'!M173</f>
        <v>8.3032852107334563</v>
      </c>
    </row>
    <row r="299" spans="1:16">
      <c r="A299" s="731" t="s">
        <v>255</v>
      </c>
      <c r="B299" s="732"/>
      <c r="C299" s="540"/>
      <c r="D299" s="541">
        <f>D222/D223</f>
        <v>0.7708356244799609</v>
      </c>
      <c r="E299" s="541">
        <f t="shared" ref="E299:M299" si="245">E222/E223</f>
        <v>0.83934823690907456</v>
      </c>
      <c r="F299" s="541">
        <f t="shared" si="245"/>
        <v>0.9139503162917022</v>
      </c>
      <c r="G299" s="541">
        <f t="shared" si="245"/>
        <v>0.99518310031333257</v>
      </c>
      <c r="H299" s="541">
        <f t="shared" si="245"/>
        <v>1.0836359323860201</v>
      </c>
      <c r="I299" s="541">
        <f t="shared" si="245"/>
        <v>1.1799505373316752</v>
      </c>
      <c r="J299" s="541">
        <f t="shared" si="245"/>
        <v>1.2848256770922026</v>
      </c>
      <c r="K299" s="541">
        <f t="shared" si="245"/>
        <v>1.3990222202436406</v>
      </c>
      <c r="L299" s="541">
        <f t="shared" si="245"/>
        <v>1.5233686620935951</v>
      </c>
      <c r="M299" s="542">
        <f t="shared" si="245"/>
        <v>1.6587671354102485</v>
      </c>
      <c r="N299" s="548">
        <f t="shared" si="234"/>
        <v>1.1648887442551452</v>
      </c>
      <c r="O299" s="555">
        <f>'ANTONIO ARAUJO &amp; CIA'!M106</f>
        <v>0.58427763854482084</v>
      </c>
      <c r="P299" s="551">
        <f>'SUBSECTOR 29'!M174</f>
        <v>0.92225643627721365</v>
      </c>
    </row>
    <row r="300" spans="1:16">
      <c r="A300" s="724"/>
      <c r="B300" s="725"/>
      <c r="C300" s="726" t="s">
        <v>256</v>
      </c>
      <c r="D300" s="727"/>
      <c r="E300" s="727"/>
      <c r="F300" s="727"/>
      <c r="G300" s="727"/>
      <c r="H300" s="727"/>
      <c r="I300" s="727"/>
      <c r="J300" s="727"/>
      <c r="K300" s="727"/>
      <c r="L300" s="727"/>
      <c r="M300" s="728"/>
      <c r="N300" s="556"/>
      <c r="O300" s="557"/>
      <c r="P300" s="558"/>
    </row>
    <row r="301" spans="1:16">
      <c r="A301" s="733" t="s">
        <v>257</v>
      </c>
      <c r="B301" s="735"/>
      <c r="C301" s="528"/>
      <c r="D301" s="529">
        <f t="shared" ref="D301:M301" si="246">C269/D232</f>
        <v>-7.2110152805802787</v>
      </c>
      <c r="E301" s="529">
        <f t="shared" si="246"/>
        <v>-5.3969594648415606</v>
      </c>
      <c r="F301" s="529">
        <f t="shared" si="246"/>
        <v>-3.8852425160375441</v>
      </c>
      <c r="G301" s="529">
        <f t="shared" si="246"/>
        <v>-2.7262416146935124</v>
      </c>
      <c r="H301" s="529">
        <f t="shared" si="246"/>
        <v>-1.6884882077771342</v>
      </c>
      <c r="I301" s="529">
        <f t="shared" si="246"/>
        <v>-0.7386520729069892</v>
      </c>
      <c r="J301" s="529">
        <f t="shared" si="246"/>
        <v>0.27936141921542668</v>
      </c>
      <c r="K301" s="529">
        <f t="shared" si="246"/>
        <v>1.5388340751083767</v>
      </c>
      <c r="L301" s="529">
        <f t="shared" si="246"/>
        <v>3.7990410748502628</v>
      </c>
      <c r="M301" s="530">
        <f t="shared" si="246"/>
        <v>18.574851669324229</v>
      </c>
      <c r="N301" s="546">
        <f t="shared" si="234"/>
        <v>0.2545489081661273</v>
      </c>
      <c r="O301" s="598">
        <f>'ANTONIO ARAUJO &amp; CIA'!M109</f>
        <v>5.2697964152375459E-4</v>
      </c>
      <c r="P301" s="549">
        <f>'SUBSECTOR 29'!M177</f>
        <v>0.17300607664959494</v>
      </c>
    </row>
    <row r="302" spans="1:16" ht="30" customHeight="1">
      <c r="A302" s="733" t="s">
        <v>258</v>
      </c>
      <c r="B302" s="735"/>
      <c r="C302" s="531"/>
      <c r="D302" s="538">
        <f t="shared" ref="D302:M302" si="247">D227/C253</f>
        <v>-8.3331180287727694E-2</v>
      </c>
      <c r="E302" s="538">
        <f t="shared" si="247"/>
        <v>-5.5309935467390693E-2</v>
      </c>
      <c r="F302" s="538">
        <f t="shared" si="247"/>
        <v>-2.8147769332825253E-2</v>
      </c>
      <c r="G302" s="538">
        <f t="shared" si="247"/>
        <v>-2.8094935050320654E-3</v>
      </c>
      <c r="H302" s="538">
        <f t="shared" si="247"/>
        <v>2.1383767322611109E-2</v>
      </c>
      <c r="I302" s="538">
        <f t="shared" si="247"/>
        <v>4.3145391424614293E-2</v>
      </c>
      <c r="J302" s="538">
        <f t="shared" si="247"/>
        <v>6.3453559136229437E-2</v>
      </c>
      <c r="K302" s="538">
        <f t="shared" si="247"/>
        <v>8.2265144145532945E-2</v>
      </c>
      <c r="L302" s="538">
        <f t="shared" si="247"/>
        <v>9.9670104099456466E-2</v>
      </c>
      <c r="M302" s="539">
        <f t="shared" si="247"/>
        <v>0.11575804654451023</v>
      </c>
      <c r="N302" s="554">
        <f t="shared" si="234"/>
        <v>2.5607763407997874E-2</v>
      </c>
      <c r="O302" s="599">
        <f>'ANTONIO ARAUJO &amp; CIA'!M110</f>
        <v>-8.2853913965460073</v>
      </c>
      <c r="P302" s="550">
        <f>'SUBSECTOR 29'!M178</f>
        <v>1.7517059580139258</v>
      </c>
    </row>
    <row r="303" spans="1:16">
      <c r="A303" s="745" t="s">
        <v>259</v>
      </c>
      <c r="B303" s="746"/>
      <c r="C303" s="531"/>
      <c r="D303" s="538">
        <f>D232/D220</f>
        <v>-7.6260827743815707E-2</v>
      </c>
      <c r="E303" s="538">
        <f t="shared" ref="E303:M303" si="248">E232/E220</f>
        <v>-7.5705196550942724E-2</v>
      </c>
      <c r="F303" s="538">
        <f t="shared" si="248"/>
        <v>-7.3950778195412445E-2</v>
      </c>
      <c r="G303" s="538">
        <f t="shared" si="248"/>
        <v>-6.7673372140443208E-2</v>
      </c>
      <c r="H303" s="538">
        <f t="shared" si="248"/>
        <v>-5.9922181236087987E-2</v>
      </c>
      <c r="I303" s="538">
        <f t="shared" si="248"/>
        <v>-4.881639093596362E-2</v>
      </c>
      <c r="J303" s="538">
        <f t="shared" si="248"/>
        <v>-3.8629859429843552E-2</v>
      </c>
      <c r="K303" s="538">
        <f t="shared" si="248"/>
        <v>-2.770885019859657E-2</v>
      </c>
      <c r="L303" s="538">
        <f t="shared" si="248"/>
        <v>-1.6001628058081571E-2</v>
      </c>
      <c r="M303" s="539">
        <f t="shared" si="248"/>
        <v>-3.5737142231629217E-3</v>
      </c>
      <c r="N303" s="554">
        <f t="shared" si="234"/>
        <v>-4.8824279871235041E-2</v>
      </c>
      <c r="O303" s="566">
        <f>'ANTONIO ARAUJO &amp; CIA'!M111</f>
        <v>-1.2057127899150013E-3</v>
      </c>
      <c r="P303" s="554">
        <f>'SUBSECTOR 29'!M179</f>
        <v>-1.7974225642725711E-3</v>
      </c>
    </row>
    <row r="304" spans="1:16">
      <c r="A304" s="747" t="s">
        <v>260</v>
      </c>
      <c r="B304" s="748"/>
      <c r="C304" s="540"/>
      <c r="D304" s="543">
        <f>D227/D220</f>
        <v>-7.4118271670023259E-2</v>
      </c>
      <c r="E304" s="543">
        <f t="shared" ref="E304:M304" si="249">E227/E220</f>
        <v>-4.8148561373390672E-2</v>
      </c>
      <c r="F304" s="543">
        <f t="shared" si="249"/>
        <v>-2.4303431183909104E-2</v>
      </c>
      <c r="G304" s="543">
        <f t="shared" si="249"/>
        <v>-2.4106802804678604E-3</v>
      </c>
      <c r="H304" s="543">
        <f t="shared" si="249"/>
        <v>1.8232291652088058E-2</v>
      </c>
      <c r="I304" s="543">
        <f t="shared" si="249"/>
        <v>3.676225494901076E-2</v>
      </c>
      <c r="J304" s="543">
        <f t="shared" si="249"/>
        <v>5.3815981979868213E-2</v>
      </c>
      <c r="K304" s="543">
        <f t="shared" si="249"/>
        <v>6.9489239345306181E-2</v>
      </c>
      <c r="L304" s="543">
        <f t="shared" si="249"/>
        <v>8.3895648395076128E-2</v>
      </c>
      <c r="M304" s="544">
        <f t="shared" si="249"/>
        <v>9.7139613723321458E-2</v>
      </c>
      <c r="N304" s="555">
        <f t="shared" si="234"/>
        <v>2.103540855368799E-2</v>
      </c>
      <c r="O304" s="567">
        <f>'ANTONIO ARAUJO &amp; CIA'!M112</f>
        <v>-0.18279868639046482</v>
      </c>
      <c r="P304" s="555">
        <f>'SUBSECTOR 29'!M180</f>
        <v>-7.5984402306211091E-2</v>
      </c>
    </row>
    <row r="308" spans="3:13">
      <c r="D308" s="742" t="s">
        <v>1273</v>
      </c>
      <c r="E308" s="743"/>
      <c r="F308" s="743"/>
      <c r="G308" s="743"/>
      <c r="H308" s="743"/>
      <c r="I308" s="743"/>
      <c r="J308" s="743"/>
      <c r="K308" s="743"/>
      <c r="L308" s="743"/>
      <c r="M308" s="744"/>
    </row>
    <row r="309" spans="3:13">
      <c r="D309" s="595" t="s">
        <v>1240</v>
      </c>
      <c r="E309" s="736" t="str">
        <f>A38</f>
        <v>Accounts receivable as % of sales. Cuentas por cobrar CxC como % de ventas.</v>
      </c>
      <c r="F309" s="737"/>
      <c r="G309" s="737"/>
      <c r="H309" s="737"/>
      <c r="I309" s="737"/>
      <c r="J309" s="737"/>
      <c r="K309" s="737"/>
      <c r="L309" s="737"/>
      <c r="M309" s="738"/>
    </row>
    <row r="310" spans="3:13">
      <c r="D310" s="596">
        <f>G232</f>
        <v>-571099.97229434166</v>
      </c>
      <c r="E310" s="585">
        <v>0.1</v>
      </c>
      <c r="F310" s="586">
        <v>0.2</v>
      </c>
      <c r="G310" s="586">
        <v>0.3</v>
      </c>
      <c r="H310" s="587">
        <v>0.4</v>
      </c>
      <c r="I310" s="586">
        <v>0.5</v>
      </c>
      <c r="J310" s="586">
        <v>0.6</v>
      </c>
      <c r="K310" s="588">
        <f>D38</f>
        <v>0.68055361866294029</v>
      </c>
      <c r="L310" s="586">
        <v>0.7</v>
      </c>
      <c r="M310" s="589">
        <v>0.8</v>
      </c>
    </row>
    <row r="311" spans="3:13">
      <c r="C311" s="739" t="str">
        <f>A39</f>
        <v>Accounts payable as % of purchases. Cuentas por pagar CxP como % de Compras</v>
      </c>
      <c r="D311" s="581">
        <v>0.1</v>
      </c>
      <c r="E311" s="590">
        <f t="dataTable" ref="E311:M320" dt2D="1" dtr="1" r1="D38" r2="D39"/>
        <v>-8578.0568471299775</v>
      </c>
      <c r="F311" s="591">
        <v>-137040.79952325198</v>
      </c>
      <c r="G311" s="591">
        <v>-276444.44296807144</v>
      </c>
      <c r="H311" s="591">
        <v>-420523.85707780323</v>
      </c>
      <c r="I311" s="591">
        <v>-564603.27118753479</v>
      </c>
      <c r="J311" s="591">
        <v>-708682.68529726635</v>
      </c>
      <c r="K311" s="591">
        <v>-708682.68529726635</v>
      </c>
      <c r="L311" s="591">
        <v>-852762.09940699814</v>
      </c>
      <c r="M311" s="628">
        <v>-996841.51351673028</v>
      </c>
    </row>
    <row r="312" spans="3:13">
      <c r="C312" s="740"/>
      <c r="D312" s="582">
        <v>0.2</v>
      </c>
      <c r="E312" s="592">
        <v>41732.701845536096</v>
      </c>
      <c r="F312" s="593">
        <v>-30128.145223021842</v>
      </c>
      <c r="G312" s="593">
        <v>-165811.6833018274</v>
      </c>
      <c r="H312" s="593">
        <v>-305910.81567552732</v>
      </c>
      <c r="I312" s="593">
        <v>-449990.229785259</v>
      </c>
      <c r="J312" s="593">
        <v>-594069.64389499044</v>
      </c>
      <c r="K312" s="593">
        <v>-594069.64389499044</v>
      </c>
      <c r="L312" s="593">
        <v>-738149.05800472223</v>
      </c>
      <c r="M312" s="629">
        <v>-882228.47211445437</v>
      </c>
    </row>
    <row r="313" spans="3:13">
      <c r="C313" s="740"/>
      <c r="D313" s="582">
        <v>0.3</v>
      </c>
      <c r="E313" s="592">
        <v>89212.701778649178</v>
      </c>
      <c r="F313" s="593">
        <v>29343.794433705763</v>
      </c>
      <c r="G313" s="593">
        <v>-57765.840919238362</v>
      </c>
      <c r="H313" s="593">
        <v>-194582.5670804026</v>
      </c>
      <c r="I313" s="593">
        <v>-335377.18838298344</v>
      </c>
      <c r="J313" s="593">
        <v>-479456.60249271506</v>
      </c>
      <c r="K313" s="593">
        <v>-479456.60249271506</v>
      </c>
      <c r="L313" s="593">
        <v>-623536.01660244667</v>
      </c>
      <c r="M313" s="629">
        <v>-767615.43071217858</v>
      </c>
    </row>
    <row r="314" spans="3:13">
      <c r="C314" s="740"/>
      <c r="D314" s="583">
        <f>D39</f>
        <v>0.32130456683931968</v>
      </c>
      <c r="E314" s="592">
        <v>89212.701778649178</v>
      </c>
      <c r="F314" s="593">
        <v>29343.794433705763</v>
      </c>
      <c r="G314" s="593">
        <v>-57765.840919238362</v>
      </c>
      <c r="H314" s="593">
        <v>-194582.5670804026</v>
      </c>
      <c r="I314" s="593">
        <v>-335377.18838298344</v>
      </c>
      <c r="J314" s="593">
        <v>-479456.60249271506</v>
      </c>
      <c r="K314" s="593">
        <v>-479456.60249271506</v>
      </c>
      <c r="L314" s="593">
        <v>-623536.01660244667</v>
      </c>
      <c r="M314" s="629">
        <v>-767615.43071217858</v>
      </c>
    </row>
    <row r="315" spans="3:13">
      <c r="C315" s="740"/>
      <c r="D315" s="582">
        <v>0.4</v>
      </c>
      <c r="E315" s="592">
        <v>135536.82773214238</v>
      </c>
      <c r="F315" s="593">
        <v>76823.794366818969</v>
      </c>
      <c r="G315" s="593">
        <v>16954.887021875329</v>
      </c>
      <c r="H315" s="593">
        <v>-85403.536615454155</v>
      </c>
      <c r="I315" s="593">
        <v>-223353.45085897751</v>
      </c>
      <c r="J315" s="593">
        <v>-364843.56109043909</v>
      </c>
      <c r="K315" s="593">
        <v>-364843.56109043909</v>
      </c>
      <c r="L315" s="593">
        <v>-508922.97520017088</v>
      </c>
      <c r="M315" s="629">
        <v>-653002.38930990279</v>
      </c>
    </row>
    <row r="316" spans="3:13">
      <c r="C316" s="740"/>
      <c r="D316" s="582">
        <v>0.5</v>
      </c>
      <c r="E316" s="592">
        <v>181639.16966048113</v>
      </c>
      <c r="F316" s="593">
        <v>123490.85624764176</v>
      </c>
      <c r="G316" s="593">
        <v>64434.886954988375</v>
      </c>
      <c r="H316" s="593">
        <v>4565.9796100449375</v>
      </c>
      <c r="I316" s="593">
        <v>-113069.65870974555</v>
      </c>
      <c r="J316" s="593">
        <v>-252124.33463755256</v>
      </c>
      <c r="K316" s="593">
        <v>-252124.33463755256</v>
      </c>
      <c r="L316" s="593">
        <v>-394309.93379789515</v>
      </c>
      <c r="M316" s="629">
        <v>-538389.34790762723</v>
      </c>
    </row>
    <row r="317" spans="3:13">
      <c r="C317" s="740"/>
      <c r="D317" s="582">
        <v>0.6</v>
      </c>
      <c r="E317" s="592">
        <v>225952.69022360601</v>
      </c>
      <c r="F317" s="593">
        <v>169650.35999222158</v>
      </c>
      <c r="G317" s="593">
        <v>111444.8847631411</v>
      </c>
      <c r="H317" s="593">
        <v>52045.979543158188</v>
      </c>
      <c r="I317" s="593">
        <v>-11676.011644455566</v>
      </c>
      <c r="J317" s="593">
        <v>-141840.54248832012</v>
      </c>
      <c r="K317" s="593">
        <v>-141840.54248832012</v>
      </c>
      <c r="L317" s="593">
        <v>-280895.21841612732</v>
      </c>
      <c r="M317" s="629">
        <v>-423776.30650535115</v>
      </c>
    </row>
    <row r="318" spans="3:13">
      <c r="C318" s="740"/>
      <c r="D318" s="582">
        <v>0.7</v>
      </c>
      <c r="E318" s="592">
        <v>270266.21078673087</v>
      </c>
      <c r="F318" s="593">
        <v>214203.27382072847</v>
      </c>
      <c r="G318" s="593">
        <v>157604.38850772075</v>
      </c>
      <c r="H318" s="593">
        <v>99398.913278640466</v>
      </c>
      <c r="I318" s="593">
        <v>39657.072131327834</v>
      </c>
      <c r="J318" s="593">
        <v>-34758.54728450891</v>
      </c>
      <c r="K318" s="593">
        <v>-34758.54728450891</v>
      </c>
      <c r="L318" s="593">
        <v>-170611.42626689535</v>
      </c>
      <c r="M318" s="629">
        <v>-309666.10219470283</v>
      </c>
    </row>
    <row r="319" spans="3:13">
      <c r="C319" s="740"/>
      <c r="D319" s="582">
        <v>0.8</v>
      </c>
      <c r="E319" s="592">
        <v>314579.73134985566</v>
      </c>
      <c r="F319" s="593">
        <v>258516.79438385327</v>
      </c>
      <c r="G319" s="593">
        <v>202453.85741785041</v>
      </c>
      <c r="H319" s="593">
        <v>145558.4170232201</v>
      </c>
      <c r="I319" s="593">
        <v>87137.072064440901</v>
      </c>
      <c r="J319" s="593">
        <v>27268.16471949753</v>
      </c>
      <c r="K319" s="593">
        <v>27268.16471949753</v>
      </c>
      <c r="L319" s="593">
        <v>-62396.242980724965</v>
      </c>
      <c r="M319" s="629">
        <v>-199382.31004547089</v>
      </c>
    </row>
    <row r="320" spans="3:13">
      <c r="C320" s="741"/>
      <c r="D320" s="584">
        <v>0.9</v>
      </c>
      <c r="E320" s="597">
        <v>358893.25191298069</v>
      </c>
      <c r="F320" s="594">
        <v>302830.31494697812</v>
      </c>
      <c r="G320" s="594">
        <v>246767.37798097546</v>
      </c>
      <c r="H320" s="594">
        <v>190704.44101497289</v>
      </c>
      <c r="I320" s="594">
        <v>133512.44553871959</v>
      </c>
      <c r="J320" s="594">
        <v>74748.164652610751</v>
      </c>
      <c r="K320" s="594">
        <v>74748.164652610751</v>
      </c>
      <c r="L320" s="594">
        <v>14879.257307667325</v>
      </c>
      <c r="M320" s="630">
        <v>-90033.938676940947</v>
      </c>
    </row>
    <row r="323" spans="4:12">
      <c r="D323" s="403"/>
    </row>
    <row r="325" spans="4:12">
      <c r="D325" s="386"/>
      <c r="E325" s="413"/>
    </row>
    <row r="326" spans="4:12">
      <c r="D326" s="386"/>
      <c r="E326" s="413"/>
    </row>
    <row r="327" spans="4:12">
      <c r="D327" s="403"/>
      <c r="E327" s="403"/>
      <c r="F327" s="403"/>
      <c r="G327" s="403"/>
      <c r="H327" s="403"/>
      <c r="I327" s="403"/>
      <c r="J327" s="403"/>
      <c r="K327" s="403"/>
      <c r="L327" s="403"/>
    </row>
    <row r="328" spans="4:12">
      <c r="D328" s="403"/>
    </row>
    <row r="329" spans="4:12">
      <c r="D329" s="403"/>
    </row>
    <row r="330" spans="4:12">
      <c r="D330" s="403"/>
    </row>
    <row r="331" spans="4:12">
      <c r="D331" s="403"/>
    </row>
    <row r="332" spans="4:12">
      <c r="D332" s="403"/>
    </row>
    <row r="333" spans="4:12">
      <c r="D333" s="403"/>
    </row>
    <row r="334" spans="4:12">
      <c r="D334" s="403"/>
    </row>
    <row r="335" spans="4:12">
      <c r="D335" s="403"/>
    </row>
    <row r="336" spans="4:12">
      <c r="D336" s="403"/>
    </row>
    <row r="337" spans="4:4">
      <c r="D337" s="403"/>
    </row>
  </sheetData>
  <sheetProtection password="D4F8" sheet="1" objects="1" scenarios="1"/>
  <scenarios current="0" sqref="D232:M232 D221:M221 D147:M147">
    <scenario name="cambio :D" locked="1" count="2" user="Juan Duque" comment="Creado por Juan Duque el 14/05/2011_x000a_Modificado por Juan Duque el 14/05/2011_x000a_Modificado por Juan Duque el 15/05/2011">
      <inputCells r="D37" val="0,4"/>
      <inputCells r="D38" val="0,3"/>
    </scenario>
  </scenarios>
  <mergeCells count="34">
    <mergeCell ref="E309:M309"/>
    <mergeCell ref="C311:C320"/>
    <mergeCell ref="D308:M308"/>
    <mergeCell ref="C300:M300"/>
    <mergeCell ref="A301:B301"/>
    <mergeCell ref="A302:B302"/>
    <mergeCell ref="A303:B303"/>
    <mergeCell ref="A304:B304"/>
    <mergeCell ref="A300:B300"/>
    <mergeCell ref="C295:M295"/>
    <mergeCell ref="A295:B295"/>
    <mergeCell ref="A296:B296"/>
    <mergeCell ref="A297:B297"/>
    <mergeCell ref="A298:B298"/>
    <mergeCell ref="A299:B299"/>
    <mergeCell ref="A290:B290"/>
    <mergeCell ref="A291:B291"/>
    <mergeCell ref="A292:B292"/>
    <mergeCell ref="A293:B293"/>
    <mergeCell ref="A294:B294"/>
    <mergeCell ref="A289:B289"/>
    <mergeCell ref="A284:B284"/>
    <mergeCell ref="A288:B288"/>
    <mergeCell ref="C284:M284"/>
    <mergeCell ref="A285:B285"/>
    <mergeCell ref="A286:B286"/>
    <mergeCell ref="A287:B287"/>
    <mergeCell ref="C288:M288"/>
    <mergeCell ref="O218:Y218"/>
    <mergeCell ref="AB218:AK218"/>
    <mergeCell ref="AB236:AK236"/>
    <mergeCell ref="AN236:AW236"/>
    <mergeCell ref="AN218:AW218"/>
    <mergeCell ref="O236:Y236"/>
  </mergeCells>
  <conditionalFormatting sqref="D2:O2">
    <cfRule type="cellIs" dxfId="0" priority="1" operator="notEqual">
      <formula>0</formula>
    </cfRule>
  </conditionalFormatting>
  <dataValidations count="2">
    <dataValidation type="decimal" allowBlank="1" showInputMessage="1" showErrorMessage="1" promptTitle="Repurchase of equity" prompt="% of Depreciation as Repurchase of equity" sqref="C48:J49">
      <formula1>0</formula1>
      <formula2>1</formula2>
    </dataValidation>
    <dataValidation type="decimal" allowBlank="1" showInputMessage="1" showErrorMessage="1" promptTitle="Payout Ratio" prompt="A value between 0 and 100" sqref="C40">
      <formula1>0</formula1>
      <formula2>1</formula2>
    </dataValidation>
  </dataValidations>
  <printOptions headings="1" gridLines="1"/>
  <pageMargins left="0.25" right="0.25" top="0.75" bottom="0.75" header="0.3" footer="0.3"/>
  <pageSetup orientation="portrait" horizontalDpi="300" verticalDpi="300" r:id="rId1"/>
  <headerFooter>
    <oddFooter>Página &amp;P</oddFooter>
  </headerFooter>
  <ignoredErrors>
    <ignoredError sqref="C248:M248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E32"/>
  <sheetViews>
    <sheetView showGridLines="0" workbookViewId="0"/>
  </sheetViews>
  <sheetFormatPr defaultColWidth="11.42578125" defaultRowHeight="15" outlineLevelRow="1" outlineLevelCol="1"/>
  <cols>
    <col min="3" max="3" width="7.85546875" customWidth="1"/>
    <col min="4" max="4" width="14.5703125" bestFit="1" customWidth="1" outlineLevel="1"/>
    <col min="5" max="5" width="16.42578125" customWidth="1" outlineLevel="1"/>
  </cols>
  <sheetData>
    <row r="1" spans="2:5" ht="15.75" thickBot="1"/>
    <row r="2" spans="2:5" ht="15.75">
      <c r="B2" s="613" t="s">
        <v>1275</v>
      </c>
      <c r="C2" s="605"/>
      <c r="D2" s="610"/>
      <c r="E2" s="614"/>
    </row>
    <row r="3" spans="2:5" ht="15.75" collapsed="1">
      <c r="B3" s="615"/>
      <c r="C3" s="604"/>
      <c r="D3" s="611" t="s">
        <v>1277</v>
      </c>
      <c r="E3" s="616" t="s">
        <v>1285</v>
      </c>
    </row>
    <row r="4" spans="2:5" ht="67.5" hidden="1" outlineLevel="1">
      <c r="B4" s="617"/>
      <c r="C4" s="607"/>
      <c r="D4" s="600"/>
      <c r="E4" s="618" t="s">
        <v>1274</v>
      </c>
    </row>
    <row r="5" spans="2:5">
      <c r="B5" s="619" t="s">
        <v>1276</v>
      </c>
      <c r="C5" s="608"/>
      <c r="D5" s="606"/>
      <c r="E5" s="620"/>
    </row>
    <row r="6" spans="2:5" ht="59.25" customHeight="1" outlineLevel="1">
      <c r="B6" s="753" t="s">
        <v>1188</v>
      </c>
      <c r="C6" s="754"/>
      <c r="D6" s="626">
        <v>0.32004043467416898</v>
      </c>
      <c r="E6" s="627">
        <v>0.4</v>
      </c>
    </row>
    <row r="7" spans="2:5" ht="42.75" customHeight="1" outlineLevel="1">
      <c r="B7" s="753" t="s">
        <v>1284</v>
      </c>
      <c r="C7" s="754"/>
      <c r="D7" s="612">
        <v>0.68055361866293995</v>
      </c>
      <c r="E7" s="621">
        <v>0.3</v>
      </c>
    </row>
    <row r="8" spans="2:5">
      <c r="B8" s="619" t="s">
        <v>1278</v>
      </c>
      <c r="C8" s="608"/>
      <c r="D8" s="749" t="s">
        <v>1282</v>
      </c>
      <c r="E8" s="750"/>
    </row>
    <row r="9" spans="2:5" outlineLevel="1">
      <c r="B9" s="617"/>
      <c r="C9" s="607">
        <v>2010</v>
      </c>
      <c r="D9" s="601">
        <v>-413195.907103976</v>
      </c>
      <c r="E9" s="622">
        <v>-413195.907103976</v>
      </c>
    </row>
    <row r="10" spans="2:5" outlineLevel="1">
      <c r="B10" s="617"/>
      <c r="C10" s="607">
        <v>2011</v>
      </c>
      <c r="D10" s="601">
        <v>-475741.86717954098</v>
      </c>
      <c r="E10" s="622">
        <v>-224633.01986920499</v>
      </c>
    </row>
    <row r="11" spans="2:5" outlineLevel="1">
      <c r="B11" s="617"/>
      <c r="C11" s="607">
        <v>2012</v>
      </c>
      <c r="D11" s="601">
        <v>-538832.63409164699</v>
      </c>
      <c r="E11" s="622">
        <v>-181325.10084140499</v>
      </c>
    </row>
    <row r="12" spans="2:5" outlineLevel="1">
      <c r="B12" s="617"/>
      <c r="C12" s="607">
        <v>2013</v>
      </c>
      <c r="D12" s="601">
        <v>-571099.97229434096</v>
      </c>
      <c r="E12" s="622">
        <v>-110480.25103416</v>
      </c>
    </row>
    <row r="13" spans="2:5" outlineLevel="1">
      <c r="B13" s="617"/>
      <c r="C13" s="607">
        <v>2014</v>
      </c>
      <c r="D13" s="601">
        <v>-590986.365960013</v>
      </c>
      <c r="E13" s="622">
        <v>-825.87326881560102</v>
      </c>
    </row>
    <row r="14" spans="2:5" outlineLevel="1">
      <c r="B14" s="617"/>
      <c r="C14" s="607">
        <v>2015</v>
      </c>
      <c r="D14" s="601">
        <v>-557614.28900129697</v>
      </c>
      <c r="E14" s="622">
        <v>110751.12255134</v>
      </c>
    </row>
    <row r="15" spans="2:5" outlineLevel="1">
      <c r="B15" s="617"/>
      <c r="C15" s="607">
        <v>2016</v>
      </c>
      <c r="D15" s="601">
        <v>-511866.93407855101</v>
      </c>
      <c r="E15" s="622">
        <v>256850.10190794</v>
      </c>
    </row>
    <row r="16" spans="2:5" outlineLevel="1">
      <c r="B16" s="617"/>
      <c r="C16" s="607">
        <v>2017</v>
      </c>
      <c r="D16" s="601">
        <v>-429543.24314953701</v>
      </c>
      <c r="E16" s="622">
        <v>465112.39724756998</v>
      </c>
    </row>
    <row r="17" spans="2:5" outlineLevel="1">
      <c r="B17" s="617"/>
      <c r="C17" s="607">
        <v>2018</v>
      </c>
      <c r="D17" s="601">
        <v>-296935.09509012499</v>
      </c>
      <c r="E17" s="622">
        <v>719214.05394058803</v>
      </c>
    </row>
    <row r="18" spans="2:5" outlineLevel="1">
      <c r="B18" s="617"/>
      <c r="C18" s="607">
        <v>2019</v>
      </c>
      <c r="D18" s="601">
        <v>-95637.175794203504</v>
      </c>
      <c r="E18" s="622">
        <v>1044430.4953023701</v>
      </c>
    </row>
    <row r="19" spans="2:5" outlineLevel="1">
      <c r="B19" s="617"/>
      <c r="C19" s="607"/>
      <c r="D19" s="751" t="s">
        <v>1283</v>
      </c>
      <c r="E19" s="752"/>
    </row>
    <row r="20" spans="2:5" outlineLevel="1">
      <c r="B20" s="617"/>
      <c r="C20" s="607">
        <v>2010</v>
      </c>
      <c r="D20" s="602">
        <v>1096764.2097666599</v>
      </c>
      <c r="E20" s="623">
        <v>0</v>
      </c>
    </row>
    <row r="21" spans="2:5" outlineLevel="1">
      <c r="B21" s="617"/>
      <c r="C21" s="607">
        <v>2011</v>
      </c>
      <c r="D21" s="602">
        <v>2294866.2800166602</v>
      </c>
      <c r="E21" s="623">
        <v>21306.617987785499</v>
      </c>
    </row>
    <row r="22" spans="2:5" outlineLevel="1">
      <c r="B22" s="617"/>
      <c r="C22" s="607">
        <v>2012</v>
      </c>
      <c r="D22" s="602">
        <v>3519779.7778787101</v>
      </c>
      <c r="E22" s="623">
        <v>565952.249828203</v>
      </c>
    </row>
    <row r="23" spans="2:5" outlineLevel="1">
      <c r="B23" s="617"/>
      <c r="C23" s="607">
        <v>2013</v>
      </c>
      <c r="D23" s="602">
        <v>4879044.63276318</v>
      </c>
      <c r="E23" s="623">
        <v>1093457.07989819</v>
      </c>
    </row>
    <row r="24" spans="2:5" outlineLevel="1">
      <c r="B24" s="617"/>
      <c r="C24" s="607">
        <v>2014</v>
      </c>
      <c r="D24" s="602">
        <v>6380704.6259201504</v>
      </c>
      <c r="E24" s="623">
        <v>1574893.5573948601</v>
      </c>
    </row>
    <row r="25" spans="2:5" outlineLevel="1">
      <c r="B25" s="617"/>
      <c r="C25" s="607">
        <v>2015</v>
      </c>
      <c r="D25" s="602">
        <v>7957152.4274273496</v>
      </c>
      <c r="E25" s="623">
        <v>2003352.84516078</v>
      </c>
    </row>
    <row r="26" spans="2:5" outlineLevel="1">
      <c r="B26" s="617"/>
      <c r="C26" s="607">
        <v>2016</v>
      </c>
      <c r="D26" s="602">
        <v>9640424.1975026093</v>
      </c>
      <c r="E26" s="623">
        <v>2363892.9284924399</v>
      </c>
    </row>
    <row r="27" spans="2:5" outlineLevel="1">
      <c r="B27" s="617"/>
      <c r="C27" s="607">
        <v>2017</v>
      </c>
      <c r="D27" s="602">
        <v>11417484.162617</v>
      </c>
      <c r="E27" s="623">
        <v>2607678.6175780701</v>
      </c>
    </row>
    <row r="28" spans="2:5" outlineLevel="1">
      <c r="B28" s="617"/>
      <c r="C28" s="607">
        <v>2018</v>
      </c>
      <c r="D28" s="602">
        <v>13264482.124552401</v>
      </c>
      <c r="E28" s="623">
        <v>2702386.6458418299</v>
      </c>
    </row>
    <row r="29" spans="2:5" ht="15.75" outlineLevel="1" thickBot="1">
      <c r="B29" s="624"/>
      <c r="C29" s="609">
        <v>2019</v>
      </c>
      <c r="D29" s="603">
        <v>15147396.2669414</v>
      </c>
      <c r="E29" s="625">
        <v>2596679.9141606302</v>
      </c>
    </row>
    <row r="30" spans="2:5">
      <c r="B30" t="s">
        <v>1279</v>
      </c>
    </row>
    <row r="31" spans="2:5">
      <c r="B31" t="s">
        <v>1280</v>
      </c>
    </row>
    <row r="32" spans="2:5">
      <c r="B32" t="s">
        <v>1281</v>
      </c>
    </row>
  </sheetData>
  <mergeCells count="4">
    <mergeCell ref="D8:E8"/>
    <mergeCell ref="D19:E19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INDICE</vt:lpstr>
      <vt:lpstr>ANEXOS</vt:lpstr>
      <vt:lpstr>TCC-TES</vt:lpstr>
      <vt:lpstr>SECTOR COMERCIO</vt:lpstr>
      <vt:lpstr>SUBSECTOR 29</vt:lpstr>
      <vt:lpstr>ANTONIO ARAUJO &amp; CIA</vt:lpstr>
      <vt:lpstr>CIGE</vt:lpstr>
      <vt:lpstr>Resumen de escenario</vt:lpstr>
      <vt:lpstr>CIGE!Print_Area</vt:lpstr>
      <vt:lpstr>CIGE!Print_Titles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Duque</dc:creator>
  <cp:lastModifiedBy>IVP</cp:lastModifiedBy>
  <dcterms:created xsi:type="dcterms:W3CDTF">2011-02-18T00:57:18Z</dcterms:created>
  <dcterms:modified xsi:type="dcterms:W3CDTF">2012-04-11T22:21:53Z</dcterms:modified>
</cp:coreProperties>
</file>